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7"/>
  </bookViews>
  <sheets>
    <sheet name="Plan2" sheetId="1" state="hidden" r:id="rId3"/>
    <sheet name="Plan3" sheetId="2" state="hidden" r:id="rId4"/>
    <sheet name="PLANILHA " sheetId="3" state="visible" r:id="rId5"/>
    <sheet name="Agente de Coleta - Diurno " sheetId="4" state="visible" r:id="rId6"/>
    <sheet name="Agente de Coleta - Noturno " sheetId="5" state="visible" r:id="rId7"/>
    <sheet name="Motorista" sheetId="6" state="visible" r:id="rId8"/>
    <sheet name="Responsavel Tecnico" sheetId="7" state="visible" r:id="rId9"/>
    <sheet name="Encarregado" sheetId="8" state="visible" r:id="rId10"/>
    <sheet name="EPI's e Uniformes" sheetId="9" state="visible" r:id="rId11"/>
    <sheet name="Materiais" sheetId="10" state="visible" r:id="rId12"/>
    <sheet name="Materiais Permanentes" sheetId="11" state="visible" r:id="rId13"/>
  </sheets>
  <externalReferences>
    <externalReference r:id="rId14"/>
  </externalReferences>
  <definedNames>
    <definedName function="false" hidden="false" localSheetId="3" name="_xlnm.Print_Area" vbProcedure="false">'Agente de Coleta - Diurno '!$A$1:$E$112</definedName>
    <definedName function="false" hidden="false" localSheetId="3" name="_xlnm.Print_Titles" vbProcedure="false">'Agente de Coleta - Diurno '!$1:$1</definedName>
    <definedName function="false" hidden="false" localSheetId="4" name="_xlnm.Print_Area" vbProcedure="false">'Agente de Coleta - Noturno '!$A$1:$E$112</definedName>
    <definedName function="false" hidden="false" localSheetId="4" name="_xlnm.Print_Titles" vbProcedure="false">'Agente de Coleta - Noturno '!$1:$1</definedName>
    <definedName function="false" hidden="false" localSheetId="7" name="_xlnm.Print_Area" vbProcedure="false">Encarregado!$A$1:$E$112</definedName>
    <definedName function="false" hidden="false" localSheetId="7" name="_xlnm.Print_Titles" vbProcedure="false">Encarregado!$1:$1</definedName>
    <definedName function="false" hidden="false" localSheetId="8" name="_xlnm.Print_Area" vbProcedure="false">'EPI''s e Uniformes'!$A$1:$H$16</definedName>
    <definedName function="false" hidden="false" localSheetId="9" name="_xlnm.Print_Area" vbProcedure="false">Materiais!$A$1:$H$19</definedName>
    <definedName function="false" hidden="false" localSheetId="10" name="_xlnm.Print_Area" vbProcedure="false">'Materiais Permanentes'!$A$1:$H$19</definedName>
    <definedName function="false" hidden="false" localSheetId="5" name="_xlnm.Print_Area" vbProcedure="false">Motorista!$A$1:$E$112</definedName>
    <definedName function="false" hidden="false" localSheetId="5" name="_xlnm.Print_Titles" vbProcedure="false">Motorista!$1:$1</definedName>
    <definedName function="false" hidden="false" localSheetId="2" name="_xlnm.Print_Area" vbProcedure="false">'PLANILHA '!$A$1:$K$25</definedName>
    <definedName function="false" hidden="false" localSheetId="6" name="_xlnm.Print_Area" vbProcedure="false">'Responsavel Tecnico'!$A$1:$E$112</definedName>
    <definedName function="false" hidden="false" localSheetId="6" name="_xlnm.Print_Titles" vbProcedure="false">'Responsavel Tecnico'!$1:$1</definedName>
    <definedName function="false" hidden="false" localSheetId="2" name="_xlnm.Print_Titles" vbProcedure="false">'planilha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<sst xmlns="http://schemas.openxmlformats.org/spreadsheetml/2006/main" count="1231" uniqueCount="317">
  <si>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</si>
  <si>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</si>
  <si>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</si>
  <si>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</si>
  <si>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</si>
  <si>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</si>
  <si>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</si>
  <si>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</si>
  <si>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</si>
  <si>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</si>
  <si>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</si>
  <si>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</si>
  <si>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</si>
  <si>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</si>
  <si>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</si>
  <si>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</si>
  <si>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</si>
  <si>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</si>
  <si>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</si>
  <si>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</si>
  <si>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</si>
  <si>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</si>
  <si>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</si>
  <si>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</si>
  <si>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</si>
  <si>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</si>
  <si>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</si>
  <si>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</si>
  <si>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</si>
  <si>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</si>
  <si>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</si>
  <si>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</si>
  <si>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</si>
  <si>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</si>
  <si>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</si>
  <si>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</si>
  <si>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</si>
  <si>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</si>
  <si>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</si>
  <si>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</si>
  <si>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</si>
  <si>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</si>
  <si>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</si>
  <si>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</si>
  <si>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</si>
  <si>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</si>
  <si>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</si>
  <si>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</si>
  <si>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</si>
  <si>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</si>
  <si>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</si>
  <si>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</si>
  <si>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</si>
  <si>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</si>
  <si>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</si>
  <si>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</si>
  <si>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</si>
  <si>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</si>
  <si>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</si>
  <si>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</si>
  <si>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</si>
  <si>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</si>
  <si>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</si>
  <si>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</si>
  <si>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</si>
  <si>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</si>
  <si>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</si>
  <si>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</si>
  <si>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</si>
  <si>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</si>
  <si>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</si>
  <si>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</si>
  <si>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</si>
  <si>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</si>
  <si>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</si>
  <si>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</si>
  <si>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</si>
  <si>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PLANILHA DE CUSTO </t>
  </si>
  <si>
    <t xml:space="preserve">Hospital Regional de Extrema - HRE</t>
  </si>
  <si>
    <t xml:space="preserve">ITEM</t>
  </si>
  <si>
    <t xml:space="preserve">UNIDADE</t>
  </si>
  <si>
    <t xml:space="preserve">GRUPO</t>
  </si>
  <si>
    <t xml:space="preserve">SUBGRUPO</t>
  </si>
  <si>
    <t xml:space="preserve">QUANTIDADE
MENSAL</t>
  </si>
  <si>
    <t xml:space="preserve">QUANTIDADE
TOTAL
MENSAL</t>
  </si>
  <si>
    <t xml:space="preserve">QUANTIDADE
TOTAL
ANUAL</t>
  </si>
  <si>
    <t xml:space="preserve">VALOR
UNITÁRIO</t>
  </si>
  <si>
    <t xml:space="preserve">VALOR
MENSAL</t>
  </si>
  <si>
    <t xml:space="preserve">VALOR
ANUAL </t>
  </si>
  <si>
    <t xml:space="preserve">KG</t>
  </si>
  <si>
    <t xml:space="preserve">A</t>
  </si>
  <si>
    <t xml:space="preserve">A1</t>
  </si>
  <si>
    <t xml:space="preserve">B</t>
  </si>
  <si>
    <t xml:space="preserve">-</t>
  </si>
  <si>
    <t xml:space="preserve">E</t>
  </si>
  <si>
    <t xml:space="preserve">VALOR TOTAL :</t>
  </si>
  <si>
    <t xml:space="preserve">POSTOS DE SERVIÇO</t>
  </si>
  <si>
    <t xml:space="preserve">Item</t>
  </si>
  <si>
    <t xml:space="preserve">Dias de Funcionamento</t>
  </si>
  <si>
    <t xml:space="preserve">Horário</t>
  </si>
  <si>
    <t xml:space="preserve">Local</t>
  </si>
  <si>
    <t xml:space="preserve">Período</t>
  </si>
  <si>
    <t xml:space="preserve">Especificação</t>
  </si>
  <si>
    <t xml:space="preserve">Quantidades de Postos</t>
  </si>
  <si>
    <t xml:space="preserve">Segunda a Segunda</t>
  </si>
  <si>
    <t xml:space="preserve">7h às 19h</t>
  </si>
  <si>
    <t xml:space="preserve">Hospital Regional de Extrema
</t>
  </si>
  <si>
    <t xml:space="preserve">Diurno</t>
  </si>
  <si>
    <t xml:space="preserve">01 profissional por posto em escala de 12x36</t>
  </si>
  <si>
    <t xml:space="preserve">19h às 7h</t>
  </si>
  <si>
    <t xml:space="preserve">Noturno</t>
  </si>
  <si>
    <t xml:space="preserve">Segunda a Sábado</t>
  </si>
  <si>
    <t xml:space="preserve">08h as 12h e 14h a 18h
</t>
  </si>
  <si>
    <t xml:space="preserve">01 profissional Encarregado 8 horas diárias</t>
  </si>
  <si>
    <t xml:space="preserve">TOTAL DE POSTOS </t>
  </si>
  <si>
    <t xml:space="preserve">VALOR MENSAL DOS SERVIÇOS</t>
  </si>
  <si>
    <t xml:space="preserve">TIPO DE SERVIÇO </t>
  </si>
  <si>
    <t xml:space="preserve">VALOR POR EMPREGADO
</t>
  </si>
  <si>
    <t xml:space="preserve">QUANTIDADE DE EMPREGADO POR FUNÇÃO</t>
  </si>
  <si>
    <t xml:space="preserve">VALOR MENSAL</t>
  </si>
  <si>
    <t xml:space="preserve">VALOR ANUAL </t>
  </si>
  <si>
    <t xml:space="preserve">Agente de Coleta - Diurno </t>
  </si>
  <si>
    <t xml:space="preserve">Agente de Coleta - Noturno </t>
  </si>
  <si>
    <t xml:space="preserve">Motorista</t>
  </si>
  <si>
    <t xml:space="preserve">Responsavel Tecnico</t>
  </si>
  <si>
    <t xml:space="preserve">Encarregado</t>
  </si>
  <si>
    <t xml:space="preserve">VALOR TOTAL</t>
  </si>
  <si>
    <t xml:space="preserve"> </t>
  </si>
  <si>
    <t xml:space="preserve">Data de apresentação da proposta (mês/ano)</t>
  </si>
  <si>
    <t xml:space="preserve">ESPECIFICAÇÃO</t>
  </si>
  <si>
    <t xml:space="preserve">Prestação de serviços de coleta interna e externa, recolhimento, transporte, tratamento e destinação final dos Resíduos de Serviços de Saúde – RSS (Grupos A, B e E).</t>
  </si>
  <si>
    <t xml:space="preserve">C</t>
  </si>
  <si>
    <t xml:space="preserve">Ano Acordo, Convenção ou Sentença Normativa em Dissídio Coletivo</t>
  </si>
  <si>
    <t xml:space="preserve">RO000003/2025</t>
  </si>
  <si>
    <r>
      <rPr>
        <sz val="11"/>
        <rFont val="Calibri"/>
        <family val="2"/>
        <charset val="1"/>
      </rPr>
      <t xml:space="preserve">N</t>
    </r>
    <r>
      <rPr>
        <strike val="true"/>
        <sz val="11"/>
        <rFont val="Calibri"/>
        <family val="2"/>
        <charset val="1"/>
      </rPr>
      <t xml:space="preserve">º</t>
    </r>
    <r>
      <rPr>
        <sz val="11"/>
        <rFont val="Calibri"/>
        <family val="2"/>
        <charset val="1"/>
      </rPr>
      <t xml:space="preserve"> de meses de execução contratual</t>
    </r>
  </si>
  <si>
    <t xml:space="preserve">Identificação do Serviço</t>
  </si>
  <si>
    <t xml:space="preserve">Anexo III-A – Mão-de-obra</t>
  </si>
  <si>
    <t xml:space="preserve">Mão-de-obra vinculada à execução contratual</t>
  </si>
  <si>
    <t xml:space="preserve">Dados complementares para composição dos custos referente à mão-de-obra</t>
  </si>
  <si>
    <t xml:space="preserve">Valor (R$)</t>
  </si>
  <si>
    <t xml:space="preserve">Tipo de serviço (mesmo serviço com características distintas)</t>
  </si>
  <si>
    <t xml:space="preserve">Serviços de coleta interna e externa, recolhimento, transporte, tratamento e destinação final dos Resíduos de Serviços de Saúde – RSS (Grupos A, B e E).</t>
  </si>
  <si>
    <t xml:space="preserve">Salário Normativo da Categoria Profissional</t>
  </si>
  <si>
    <t xml:space="preserve">Categoria profissional (vinculada à execução contratual)</t>
  </si>
  <si>
    <t xml:space="preserve">Agente de Coleta de Resíduo Hospitalar - Diurno </t>
  </si>
  <si>
    <t xml:space="preserve">Data base da categoria (dia/mês/ano)</t>
  </si>
  <si>
    <t xml:space="preserve">MÓDULO 1 : COMPOSIÇÃO DA REMUNERAÇÃO</t>
  </si>
  <si>
    <t xml:space="preserve">Composição da Remuneração</t>
  </si>
  <si>
    <t xml:space="preserve">Salário</t>
  </si>
  <si>
    <t xml:space="preserve">Adicional de Periculosidade</t>
  </si>
  <si>
    <t xml:space="preserve">30% sobre o salário</t>
  </si>
  <si>
    <t xml:space="preserve">Adicional de Insalubridade</t>
  </si>
  <si>
    <t xml:space="preserve">40% * 1.621,00</t>
  </si>
  <si>
    <t xml:space="preserve">D</t>
  </si>
  <si>
    <t xml:space="preserve">Adicional Noturno</t>
  </si>
  <si>
    <t xml:space="preserve">20% sobre  a hora diurna</t>
  </si>
  <si>
    <t xml:space="preserve">Adicional de Hora Noturna Reduzida</t>
  </si>
  <si>
    <t xml:space="preserve">H. Extra (+50%) ou H. Normal + 20% de adiconal</t>
  </si>
  <si>
    <t xml:space="preserve">F</t>
  </si>
  <si>
    <t xml:space="preserve">INTERVALO INTRAJORNADA</t>
  </si>
  <si>
    <t xml:space="preserve">G</t>
  </si>
  <si>
    <t xml:space="preserve">DSR INTRAJORNADA</t>
  </si>
  <si>
    <t xml:space="preserve">TOTAL DO MÓDULO 1</t>
  </si>
  <si>
    <t xml:space="preserve"> MÓDULO 2: BENEFÍCIOS MENSAIS E DIÁRIOS</t>
  </si>
  <si>
    <t xml:space="preserve">DÉCIMO TERCEIRO SALÁRIO, FÉRIAS E ADICIONAL DE FÉRIAS</t>
  </si>
  <si>
    <t xml:space="preserve">BASE DE CÁLCULO</t>
  </si>
  <si>
    <t xml:space="preserve">13 º Salário</t>
  </si>
  <si>
    <t xml:space="preserve">Férias e Adicional de Férias </t>
  </si>
  <si>
    <t xml:space="preserve">TOTAL</t>
  </si>
  <si>
    <t xml:space="preserve">Base de cálculo: De acordo com a instrução normativa nº 05/2017 anexo VII nota 3, a base de cálculo neste módulo deverá ser a soma: MÓDULO 1 + SUBMÓDULO 2.1. </t>
  </si>
  <si>
    <t xml:space="preserve">2.1</t>
  </si>
  <si>
    <t xml:space="preserve">Encargos previdenciários e FGTS</t>
  </si>
  <si>
    <r>
      <rPr>
        <b val="true"/>
        <sz val="11"/>
        <rFont val="Calibri"/>
        <family val="2"/>
        <charset val="1"/>
      </rPr>
      <t xml:space="preserve">INSS</t>
    </r>
    <r>
      <rPr>
        <sz val="11"/>
        <rFont val="Calibri"/>
        <family val="2"/>
        <charset val="1"/>
      </rPr>
      <t xml:space="preserve"> (20%)</t>
    </r>
  </si>
  <si>
    <r>
      <rPr>
        <b val="true"/>
        <sz val="11"/>
        <rFont val="Calibri"/>
        <family val="2"/>
        <charset val="1"/>
      </rPr>
      <t xml:space="preserve">SALÁRIO EDUCAÇÃO</t>
    </r>
    <r>
      <rPr>
        <sz val="11"/>
        <rFont val="Calibri"/>
        <family val="2"/>
        <charset val="1"/>
      </rPr>
      <t xml:space="preserve"> (2,5%)</t>
    </r>
  </si>
  <si>
    <r>
      <rPr>
        <b val="true"/>
        <sz val="11"/>
        <rFont val="Calibri"/>
        <family val="2"/>
        <charset val="1"/>
      </rPr>
      <t xml:space="preserve">RAT X SAT (Conforme GFIP)</t>
    </r>
    <r>
      <rPr>
        <sz val="11"/>
        <rFont val="Calibri"/>
        <family val="2"/>
        <charset val="1"/>
      </rPr>
      <t xml:space="preserve"> (Riscos Ambientais do Trabalho) (Sat/Inss(médio)) (Riscos: Leve 1,0%, Médio 2,0%, Grave 3,0% - veja Decreto 3048/99 - Anexo V (CNAE de 1% a 3% FAP de 0,5 a 2,0)</t>
    </r>
  </si>
  <si>
    <r>
      <rPr>
        <b val="true"/>
        <sz val="11"/>
        <rFont val="Calibri"/>
        <family val="2"/>
        <charset val="1"/>
      </rPr>
      <t xml:space="preserve">SESI OU SESC</t>
    </r>
    <r>
      <rPr>
        <sz val="11"/>
        <rFont val="Calibri"/>
        <family val="2"/>
        <charset val="1"/>
      </rPr>
      <t xml:space="preserve"> (1,5%)</t>
    </r>
  </si>
  <si>
    <r>
      <rPr>
        <b val="true"/>
        <sz val="11"/>
        <rFont val="Calibri"/>
        <family val="2"/>
        <charset val="1"/>
      </rPr>
      <t xml:space="preserve">SENAI OU SENAC</t>
    </r>
    <r>
      <rPr>
        <sz val="11"/>
        <rFont val="Calibri"/>
        <family val="2"/>
        <charset val="1"/>
      </rPr>
      <t xml:space="preserve"> (1,0%)</t>
    </r>
  </si>
  <si>
    <t xml:space="preserve">SEBRAE</t>
  </si>
  <si>
    <r>
      <rPr>
        <b val="true"/>
        <sz val="11"/>
        <rFont val="Calibri"/>
        <family val="2"/>
        <charset val="1"/>
      </rPr>
      <t xml:space="preserve">INCRA </t>
    </r>
    <r>
      <rPr>
        <sz val="11"/>
        <rFont val="Calibri"/>
        <family val="2"/>
        <charset val="1"/>
      </rPr>
      <t xml:space="preserve">(0,20% ou  2,7%) - IN nº971, MPS/SRP/2009, Anexo I e II ver código da Tabela</t>
    </r>
  </si>
  <si>
    <t xml:space="preserve">H</t>
  </si>
  <si>
    <t xml:space="preserve">FGTS (8,0%) </t>
  </si>
  <si>
    <t xml:space="preserve">Submódulo 2.3 – Beneficios Mensais</t>
  </si>
  <si>
    <t xml:space="preserve">2.3</t>
  </si>
  <si>
    <t xml:space="preserve">BENEFÍCIOS MENSAIS E DIÁRIOS </t>
  </si>
  <si>
    <t xml:space="preserve">Transporte</t>
  </si>
  <si>
    <t xml:space="preserve">Auxílio alimentação </t>
  </si>
  <si>
    <t xml:space="preserve">Assistência médica e familiar </t>
  </si>
  <si>
    <t xml:space="preserve">Auxílio creche </t>
  </si>
  <si>
    <t xml:space="preserve">1.974,30*50%*0,0199*2/12</t>
  </si>
  <si>
    <t xml:space="preserve">Seguro de vida </t>
  </si>
  <si>
    <t xml:space="preserve">TOTAL DE BENEFÍCIOS MENSAIS E DIÁRIOS</t>
  </si>
  <si>
    <t xml:space="preserve">Quadro resumo dos beneficios</t>
  </si>
  <si>
    <t xml:space="preserve">13º Salário, Férias e Adicional de Férias</t>
  </si>
  <si>
    <t xml:space="preserve">2.2</t>
  </si>
  <si>
    <t xml:space="preserve">GPS, FGTS e outras contribuições</t>
  </si>
  <si>
    <t xml:space="preserve">Beneficios diários e mensais</t>
  </si>
  <si>
    <t xml:space="preserve">TOTAL DO MÓDULO 2</t>
  </si>
  <si>
    <t xml:space="preserve">MÓDULO 3 - PROVISÃO PARA RESCISÃO</t>
  </si>
  <si>
    <t xml:space="preserve">3.0</t>
  </si>
  <si>
    <t xml:space="preserve">Provisão para Rescisão</t>
  </si>
  <si>
    <t xml:space="preserve">Aviso prévio indenizado</t>
  </si>
  <si>
    <t xml:space="preserve">Incidência do FGTS sobre aviso prévio indenizado (8%)</t>
  </si>
  <si>
    <t xml:space="preserve">Aviso prévio trabalhado</t>
  </si>
  <si>
    <t xml:space="preserve">Incidência do submódulo 2.2 sobre aviso prévio trabalhado (36,80% sobre o valor do Aviso Prévio Trabalhado)</t>
  </si>
  <si>
    <t xml:space="preserve">Multa sobre FGTS e Contribuição Social sobre o Aviso Prévio Indenizado e sobre o Aviso Prévio Trabalhado. (Alterado Conf. Lei nº 13.932/2019)</t>
  </si>
  <si>
    <t xml:space="preserve">TOTAL DO MÓDULO 3</t>
  </si>
  <si>
    <t xml:space="preserve">MÓDULO 4 – CUSTO DE REPOSIÇÃO DO PROFISSIONAL AUSENTE</t>
  </si>
  <si>
    <t xml:space="preserve">4.1</t>
  </si>
  <si>
    <t xml:space="preserve">Submódulo 4.1 - Ausências Legais</t>
  </si>
  <si>
    <t xml:space="preserve">Substituto na Cobertura de Férias (1/12 avos)</t>
  </si>
  <si>
    <t xml:space="preserve">Substituto na Cobertura de Ausências Legais (por doença)</t>
  </si>
  <si>
    <t xml:space="preserve">Substituto na Cobertura de Licença Maternidade</t>
  </si>
  <si>
    <t xml:space="preserve">Substituto na Cobertura de Licença Paternidade</t>
  </si>
  <si>
    <t xml:space="preserve">Substituto na Cobertura de Ausências Legais (faltas legais)</t>
  </si>
  <si>
    <t xml:space="preserve">Substituto na Cobertura Por Acidente de Trabalho</t>
  </si>
  <si>
    <t xml:space="preserve">Outros  (Especificar)</t>
  </si>
  <si>
    <t xml:space="preserve">TOTAL DO SUBMÓDULO 4.1</t>
  </si>
  <si>
    <t xml:space="preserve">Submódulo 4.2 - Intrajornada</t>
  </si>
  <si>
    <t xml:space="preserve">Intervalo para Repouso ou Alimentação</t>
  </si>
  <si>
    <t xml:space="preserve">TOTAL DO SUBMÓDULO 4.2</t>
  </si>
  <si>
    <t xml:space="preserve"> QUADRO-RESUMO DO MÓDULO 4 - CUSTO DE REPOSIÇÃO DO PROFISSIONAL AUSENTE</t>
  </si>
  <si>
    <t xml:space="preserve">Módulo 4 – Encargos sociais e trabalhistas</t>
  </si>
  <si>
    <t xml:space="preserve">4.2</t>
  </si>
  <si>
    <t xml:space="preserve">TOTAL DO MÓDULO 4</t>
  </si>
  <si>
    <t xml:space="preserve">MÓDULO 5 - INSUMOS DIVERSOS</t>
  </si>
  <si>
    <t xml:space="preserve">Insumos Diversos</t>
  </si>
  <si>
    <t xml:space="preserve">Uniformes e EPIs</t>
  </si>
  <si>
    <t xml:space="preserve">Materiais</t>
  </si>
  <si>
    <t xml:space="preserve">Equipamentos</t>
  </si>
  <si>
    <t xml:space="preserve">Outros</t>
  </si>
  <si>
    <t xml:space="preserve">TOTAL DO MÓDULO 5</t>
  </si>
  <si>
    <t xml:space="preserve">(M-T)      CUSTO TOTAL DA PLANILHA PARA EFEITO DE CÁLCULO DO MÓDULO 5 (M1+M2+M3+M4+M5)</t>
  </si>
  <si>
    <t xml:space="preserve">MÓDULO 6 – CUSTOS INDIRETOS, TRIBUTOS E LUCRO </t>
  </si>
  <si>
    <t xml:space="preserve">Custos Indiretos, Tributos e Lucro</t>
  </si>
  <si>
    <t xml:space="preserve">Custos Indiretos</t>
  </si>
  <si>
    <t xml:space="preserve">Lucro (MT + M5.A)</t>
  </si>
  <si>
    <t xml:space="preserve">Subtotal  para   efeito  de  cálculo  dos Tributos  (MT + MA + MB) FATURAMENTO [(100-8,65)/100]</t>
  </si>
  <si>
    <t xml:space="preserve">Tributos</t>
  </si>
  <si>
    <t xml:space="preserve">C.1</t>
  </si>
  <si>
    <t xml:space="preserve">Tributos federais </t>
  </si>
  <si>
    <t xml:space="preserve">C.1.1</t>
  </si>
  <si>
    <t xml:space="preserve">PIS </t>
  </si>
  <si>
    <t xml:space="preserve">C.1.2</t>
  </si>
  <si>
    <t xml:space="preserve">COFINS</t>
  </si>
  <si>
    <t xml:space="preserve">C.2</t>
  </si>
  <si>
    <t xml:space="preserve">Tributos municipais (ISS/ISSQN)</t>
  </si>
  <si>
    <t xml:space="preserve">TOTAL DOS TRIBUTOS</t>
  </si>
  <si>
    <t xml:space="preserve">TOTAL DOS CUSTOS INDIRETOS, TRIBUTOS E LUCRO</t>
  </si>
  <si>
    <t xml:space="preserve">Mão-de-obra vinculada à execução contratual (valor por empregado)</t>
  </si>
  <si>
    <t xml:space="preserve">Módulo 1 –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</si>
  <si>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</si>
  <si>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</si>
  <si>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</si>
  <si>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</si>
  <si>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(A+B+C+D+E)</t>
  </si>
  <si>
    <t xml:space="preserve">Módulo 6 – Custos indiretos, tributos e lucro</t>
  </si>
  <si>
    <t xml:space="preserve">VALOR TOTAL POR EMPREGADO</t>
  </si>
  <si>
    <t xml:space="preserve">Agente de Coleta de Resíduo Hospitalar - Noturno</t>
  </si>
  <si>
    <t xml:space="preserve">Férias e Adicional de Férias</t>
  </si>
  <si>
    <t xml:space="preserve">Motorista </t>
  </si>
  <si>
    <t xml:space="preserve">3.500,06*50%*0,0199*2/12</t>
  </si>
  <si>
    <t xml:space="preserve">Serviços de coleta interna e externa, recolhimento, transporte, tratamento e
destinação final dos Resíduos de Serviços de Saúde – RSS (Grupos A, B e E)</t>
  </si>
  <si>
    <t xml:space="preserve"> Encarregado</t>
  </si>
  <si>
    <t xml:space="preserve">3.108,57*50%*0,0199*2/12</t>
  </si>
  <si>
    <t xml:space="preserve">UNIFORMES E EPI (POR FUNCIONÁRIO)</t>
  </si>
  <si>
    <t xml:space="preserve">Ordem</t>
  </si>
  <si>
    <t xml:space="preserve">Uniformes</t>
  </si>
  <si>
    <t xml:space="preserve">Periodicidade </t>
  </si>
  <si>
    <t xml:space="preserve">Quantidade</t>
  </si>
  <si>
    <t xml:space="preserve">Valor Unitário</t>
  </si>
  <si>
    <t xml:space="preserve">Valor Total Anual</t>
  </si>
  <si>
    <t xml:space="preserve">Valor Mensal</t>
  </si>
  <si>
    <t xml:space="preserve"> Calça</t>
  </si>
  <si>
    <t xml:space="preserve">6 meses</t>
  </si>
  <si>
    <t xml:space="preserve">Camisa</t>
  </si>
  <si>
    <t xml:space="preserve">Crachá</t>
  </si>
  <si>
    <t xml:space="preserve">Par de calçados</t>
  </si>
  <si>
    <t xml:space="preserve">TOTAL MENSAL POR FUNCIONÁRIO</t>
  </si>
  <si>
    <t xml:space="preserve">INFORMAÇÃO: </t>
  </si>
  <si>
    <t xml:space="preserve">Devido à fase de elaboração do Termo de Referência, ainda não foi possível definir as especificações ou quantidades dos uniformes necessários. Para contornar essa lacuna e agilizar o processo, o departamento encarregado de criar planilhas decidiu recorrer à Cláusula Trigésima da Convenção Coletiva de Trabalho RO000094/2024, estipulada pelo Sindicato das Empresas de Asseio, Conservação, Limpeza Pública e Locação de Mão-de-Obra do Estado de Rondônia.
De acordo com essa cláusula, as empresas são obrigadas a fornecer uniformes completos aos seus funcionários. Um uniforme completo consiste, no mínimo, no mínimo 02 calças, 02 Camisas, 01 crachá e 01 Par de calçados, devendo ser substituído a cada seis meses. Além disso, as empresas devem fornecer os equipamentos de proteção individual e coletiva necessários conforme as normas regulamentadoras.
</t>
  </si>
  <si>
    <t xml:space="preserve">MATERIAIS</t>
  </si>
  <si>
    <t xml:space="preserve">Consumo Mensal</t>
  </si>
  <si>
    <t xml:space="preserve">Descrição</t>
  </si>
  <si>
    <t xml:space="preserve">Unidade</t>
  </si>
  <si>
    <t xml:space="preserve">Quantidade Mensal</t>
  </si>
  <si>
    <t xml:space="preserve">Quantidade Anual</t>
  </si>
  <si>
    <t xml:space="preserve">Valor Total Mensal</t>
  </si>
  <si>
    <t xml:space="preserve">Saco de lixo branco leitoso, com identificação e simbologia de material infectante, capacidade de 60 litros</t>
  </si>
  <si>
    <t xml:space="preserve">Unidades</t>
  </si>
  <si>
    <t xml:space="preserve">Saco de lixo branco leitoso, com identificação e simbologia de material infectante, capacidade de 100 litros</t>
  </si>
  <si>
    <t xml:space="preserve">Saco de lixo vermelho, com identificação e simbologia de material infectante, capacidade de 60 litros</t>
  </si>
  <si>
    <t xml:space="preserve">Caixa perfurocortantes identificada e simbologia de material perfurocortantes, na cor amarela para descarte de resíduo Grupo E, capacidade de 13 litros.</t>
  </si>
  <si>
    <t xml:space="preserve">Hipoclorito de Sódio, galão de 5 litros.</t>
  </si>
  <si>
    <t xml:space="preserve">Galão</t>
  </si>
  <si>
    <t xml:space="preserve">Sabonete líquido, galão de 5 litros.</t>
  </si>
  <si>
    <t xml:space="preserve">Detergente líquido superconcentrado, galão de 5 litros.</t>
  </si>
  <si>
    <t xml:space="preserve">Álcool em gel 70%.</t>
  </si>
  <si>
    <t xml:space="preserve">Litros</t>
  </si>
  <si>
    <t xml:space="preserve">Álcool liquido 70%.</t>
  </si>
  <si>
    <t xml:space="preserve">TOTAL MENSAL POR SERVENTE</t>
  </si>
  <si>
    <t xml:space="preserve">INFORMAÇÃO :</t>
  </si>
  <si>
    <t xml:space="preserve">Saco de lixo branco leitoso 60 litros  - O valor cotado para o referido item foi R$32,70, todavia, o valor corresponde a pacote com 100 unidades, sendo assim, devido o fato de o TR solicitar em unidade, o valor unitário corresponde a R$32,70/100 = 0,33.</t>
  </si>
  <si>
    <t xml:space="preserve">Saco de lixo branco leitoso 100 litros  - O valor cotado para o referido item foi R$45,09, todavia, o valor corresponde a pacote com 100 unidades, sendo assim, devido o fato de o TR solicitar em unidade, o valor unitário corresponde a R$45,09/100 = 0,45.</t>
  </si>
  <si>
    <t xml:space="preserve">Saco vermelho 60 litros - O valor cotado para o referido item foi R$68,80, todavia, o valor corresponde a pacote com 100 unidades, sendo assim, devido o fato de o TR solicitar em unidade, o valor unitário corresponde a R$68,80/100 = 0,69.</t>
  </si>
  <si>
    <t xml:space="preserve">Álcool em gel 70% - O valor cotado para o referido item foi R$6,20, todavia, o valor corresponde a embalagem de 500 ml, sendo assim, devido o fato de o TR solicitar em litro, o valor unitário corresponde a R$6,20*2 = 12,40 .</t>
  </si>
  <si>
    <t xml:space="preserve">MATERIAL PERMANENTE</t>
  </si>
  <si>
    <t xml:space="preserve">Vida Útil (Meses)</t>
  </si>
  <si>
    <t xml:space="preserve">Lixeira 60 Litros</t>
  </si>
  <si>
    <t xml:space="preserve">Lixeira 100 Litros</t>
  </si>
  <si>
    <t xml:space="preserve">Suporte Perfuro cortante</t>
  </si>
  <si>
    <t xml:space="preserve">Bombonas, claramente identificados com o logotipo da empresa, e com identificação e simbologia de material infectante, com tampa rosqueada ou sistema de vedação e lacre, capacidade de 200 Litros.</t>
  </si>
  <si>
    <t xml:space="preserve">Carrinho coletor tipo container, identificado e simbologia de material infectante, na cor branca, capacidade de 240 Litros</t>
  </si>
  <si>
    <t xml:space="preserve">Balança digital comercial tipo plataforma, com impressora ( Kg, data/ hora e identificação da Empresa), capacidade 300 Kg</t>
  </si>
  <si>
    <t xml:space="preserve">Como não há uma definição específica da vida útil em meses, foi adotada a vida útil dos materiais permanentes e equipamentos conforme estabelecido no Despacho 0035154856.</t>
  </si>
  <si>
    <t xml:space="preserve">Veículo Furgão</t>
  </si>
  <si>
    <t xml:space="preserve">Und</t>
  </si>
  <si>
    <r>
      <rPr>
        <sz val="11"/>
        <color theme="1"/>
        <rFont val="Calibri"/>
        <family val="2"/>
        <charset val="1"/>
      </rPr>
      <t xml:space="preserve">O Termo de Referência, no item 19.4 – Infraestrutura e Equipamentos, estabelece que a empresa contratada deve possuir infraestrutura adequada, incluindo veículos, equipamentos de coleta e tratamento, além de instalações para processamento temporário e destinação final dos resíduos.
Diante disso, ficou definido que o veículo furgão será cotado por lote. A unidade em questão faz parte do Lote III, composto por duas unidades: Hospital Regional de Extrema - HRE e Laboratório de Fronteira de Rondônia - LAFRON
</t>
    </r>
    <r>
      <rPr>
        <sz val="11"/>
        <color rgb="FF000000"/>
        <rFont val="Calibri"/>
        <family val="2"/>
        <charset val="1"/>
      </rPr>
      <t xml:space="preserve">O valor total do veículo, de R$ 289.990,00, será dividido igualmente entre essas unidades, resultando em um custo de R$ 144.995,00 para cada uma.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</si>
</sst>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&quot;R$ &quot;* #,##0.00_-;&quot;-R$ &quot;* #,##0.00_-;_-&quot;R$ &quot;* \-??_-;_-@_-"/>
    <numFmt numFmtId="166" formatCode="00"/>
    <numFmt numFmtId="167" formatCode="0.00"/>
    <numFmt numFmtId="168" formatCode="#,##0.00"/>
    <numFmt numFmtId="169" formatCode="&quot;R$ &quot;#,##0.00"/>
    <numFmt numFmtId="170" formatCode="0%"/>
    <numFmt numFmtId="171" formatCode="0.000%"/>
    <numFmt numFmtId="172" formatCode="d/m/yyyy"/>
    <numFmt numFmtId="173" formatCode="0.00%"/>
    <numFmt numFmtId="174" formatCode="_-* #,##0.00_-;\-* #,##0.00_-;_-* \-??_-;_-@_-"/>
    <numFmt numFmtId="175" formatCode="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3366FF"/>
      <name val="Trebuchet MS"/>
      <family val="2"/>
      <charset val="1"/>
    </font>
    <font>
      <b val="true"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b val="true"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trike val="true"/>
      <sz val="11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b val="true"/>
      <sz val="11"/>
      <name val="Times New Roman"/>
      <family val="1"/>
      <charset val="1"/>
    </font>
    <font>
      <u val="singl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8"/>
        <bgColor rgb="FFC5E0B4"/>
      </patternFill>
    </fill>
    <fill>
      <patternFill patternType="solid">
        <fgColor theme="9" tint="0.5998"/>
        <bgColor rgb="FFA9D18E"/>
      </patternFill>
    </fill>
    <fill>
      <patternFill patternType="solid">
        <fgColor theme="5" tint="0.3998"/>
        <bgColor rgb="FFFF99CC"/>
      </patternFill>
    </fill>
    <fill>
      <patternFill patternType="solid">
        <fgColor theme="0" tint="-0.25"/>
        <bgColor rgb="FFAFABAB"/>
      </patternFill>
    </fill>
    <fill>
      <patternFill patternType="solid">
        <fgColor theme="2" tint="-0.25"/>
        <bgColor rgb="FFBFBFB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2" borderId="1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4" fillId="2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4" fillId="2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25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0" borderId="1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24" fillId="0" borderId="2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24" fillId="0" borderId="1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24" fillId="0" borderId="1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71" fontId="27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4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24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6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2" borderId="2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2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2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2" borderId="2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2" borderId="2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2" fontId="23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8" borderId="2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3" fillId="2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5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9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5" fillId="2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6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3" fillId="7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5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5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3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16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23" fillId="5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1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5" fillId="2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2" borderId="2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5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9" fontId="2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3" fillId="6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2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23" fillId="5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2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16" xfId="2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3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5" fillId="0" borderId="2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3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6" fillId="0" borderId="0" xfId="17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2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4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4" fillId="0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4" fillId="2" borderId="2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4" fillId="0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2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27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0" borderId="1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0" borderId="19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2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2" borderId="19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6" fontId="24" fillId="0" borderId="1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1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5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5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23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4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2" borderId="1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5" fillId="2" borderId="1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0" borderId="12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5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0" borderId="16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4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6" fontId="25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6" fontId="25" fillId="2" borderId="1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2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5" fillId="2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0" borderId="15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2" borderId="1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6" fontId="24" fillId="2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0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3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3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Normal 4" xfId="23"/>
    <cellStyle name="Normal 5" xfId="24"/>
    <cellStyle name="Normal 6" xfId="25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1%20-%20Planilha%20-%20Hospital%20Pronto%20Socorro%20Jo&#227;o%20Paulo%20II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Agente de Coleta - Diurno "/>
      <sheetName val="Agente de Coleta - Noturno"/>
      <sheetName val="Motorista"/>
      <sheetName val="Responsavel Tecnico"/>
      <sheetName val="Supervisor "/>
      <sheetName val="EPI's e Uniformes"/>
      <sheetName val="Materiais"/>
      <sheetName val="Material Permane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H7">
            <v>36.57</v>
          </cell>
        </row>
      </sheetData>
      <sheetData sheetId="9"/>
      <sheetData sheetId="10"/>
    </sheetDataSet>
  </externalBook>
</externalLink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pageBreakPreview" topLeftCell="B1" colorId="64" zoomScale="100" zoomScaleNormal="145" zoomScalePageLayoutView="100" workbookViewId="0">
      <selection pane="topLeft" activeCell="E8" activeCellId="0" sqref="E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E2" s="4" t="s">
        <v>2</v>
      </c>
    </row>
    <row r="3" customFormat="false" ht="174" hidden="false" customHeight="true" outlineLevel="0" collapsed="false">
      <c r="A3" s="5" t="s">
        <v>3</v>
      </c>
      <c r="B3" s="5"/>
      <c r="C3" s="5"/>
      <c r="E3" s="6" t="s">
        <v>4</v>
      </c>
    </row>
    <row r="4" customFormat="false" ht="18.75" hidden="false" customHeight="true" outlineLevel="0" collapsed="false">
      <c r="A4" s="7"/>
      <c r="E4" s="8"/>
    </row>
    <row r="5" customFormat="false" ht="15.75" hidden="false" customHeight="true" outlineLevel="0" collapsed="false">
      <c r="A5" s="9" t="s">
        <v>5</v>
      </c>
      <c r="B5" s="9"/>
      <c r="C5" s="9"/>
      <c r="E5" s="10" t="s">
        <v>6</v>
      </c>
    </row>
    <row r="6" customFormat="false" ht="15" hidden="false" customHeight="false" outlineLevel="0" collapsed="false">
      <c r="A6" s="9" t="s">
        <v>7</v>
      </c>
      <c r="B6" s="9" t="s">
        <v>8</v>
      </c>
      <c r="C6" s="11" t="s">
        <v>9</v>
      </c>
      <c r="E6" s="10" t="s">
        <v>10</v>
      </c>
    </row>
    <row r="7" customFormat="false" ht="15.75" hidden="false" customHeight="true" outlineLevel="0" collapsed="false">
      <c r="A7" s="9"/>
      <c r="B7" s="9"/>
      <c r="C7" s="12" t="s">
        <v>11</v>
      </c>
      <c r="E7" s="10" t="s">
        <v>12</v>
      </c>
    </row>
    <row r="8" customFormat="false" ht="15" hidden="false" customHeight="false" outlineLevel="0" collapsed="false">
      <c r="A8" s="13" t="s">
        <v>13</v>
      </c>
      <c r="B8" s="11" t="n">
        <v>30</v>
      </c>
      <c r="C8" s="11" t="n">
        <v>7</v>
      </c>
      <c r="D8" s="1" t="n">
        <f aca="false">(7/30)/12</f>
        <v>0.0194444444444444</v>
      </c>
      <c r="E8" s="14" t="s">
        <v>14</v>
      </c>
    </row>
    <row r="9" customFormat="false" ht="13.5" hidden="false" customHeight="true" outlineLevel="0" collapsed="false">
      <c r="A9" s="15" t="s">
        <v>15</v>
      </c>
      <c r="B9" s="16" t="n">
        <v>33</v>
      </c>
      <c r="C9" s="16" t="n">
        <v>8</v>
      </c>
      <c r="D9" s="1" t="n">
        <f aca="false">(3/30)/12</f>
        <v>0.00833333333333333</v>
      </c>
    </row>
    <row r="10" customFormat="false" ht="13.5" hidden="false" customHeight="true" outlineLevel="0" collapsed="false">
      <c r="A10" s="15" t="s">
        <v>16</v>
      </c>
      <c r="B10" s="16" t="n">
        <v>36</v>
      </c>
      <c r="C10" s="16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5" t="s">
        <v>17</v>
      </c>
      <c r="B11" s="16" t="n">
        <v>39</v>
      </c>
      <c r="C11" s="16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17" t="s">
        <v>18</v>
      </c>
      <c r="B12" s="18" t="n">
        <v>42</v>
      </c>
      <c r="C12" s="18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5" t="s">
        <v>19</v>
      </c>
      <c r="B13" s="16" t="n">
        <v>45</v>
      </c>
      <c r="C13" s="16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5" t="s">
        <v>21</v>
      </c>
      <c r="B14" s="16" t="n">
        <v>48</v>
      </c>
      <c r="C14" s="16" t="n">
        <v>11</v>
      </c>
      <c r="E14" s="1" t="s">
        <v>22</v>
      </c>
    </row>
    <row r="15" customFormat="false" ht="15" hidden="false" customHeight="false" outlineLevel="0" collapsed="false">
      <c r="A15" s="15" t="s">
        <v>23</v>
      </c>
      <c r="B15" s="16" t="n">
        <v>51</v>
      </c>
      <c r="C15" s="16" t="n">
        <v>12</v>
      </c>
    </row>
    <row r="16" customFormat="false" ht="15" hidden="false" customHeight="false" outlineLevel="0" collapsed="false">
      <c r="A16" s="15" t="s">
        <v>24</v>
      </c>
      <c r="B16" s="16" t="n">
        <v>54</v>
      </c>
      <c r="C16" s="16" t="n">
        <v>13</v>
      </c>
    </row>
    <row r="17" customFormat="false" ht="15" hidden="false" customHeight="false" outlineLevel="0" collapsed="false">
      <c r="A17" s="15" t="s">
        <v>25</v>
      </c>
      <c r="B17" s="16" t="n">
        <v>57</v>
      </c>
      <c r="C17" s="16" t="n">
        <v>13</v>
      </c>
    </row>
    <row r="18" customFormat="false" ht="15" hidden="false" customHeight="false" outlineLevel="0" collapsed="false">
      <c r="A18" s="15" t="s">
        <v>26</v>
      </c>
      <c r="B18" s="16" t="n">
        <v>60</v>
      </c>
      <c r="C18" s="16" t="n">
        <v>14</v>
      </c>
    </row>
    <row r="19" customFormat="false" ht="15" hidden="false" customHeight="false" outlineLevel="0" collapsed="false">
      <c r="A19" s="15" t="s">
        <v>27</v>
      </c>
      <c r="B19" s="16" t="n">
        <v>63</v>
      </c>
      <c r="C19" s="16" t="n">
        <v>15</v>
      </c>
    </row>
    <row r="20" customFormat="false" ht="15" hidden="false" customHeight="false" outlineLevel="0" collapsed="false">
      <c r="A20" s="15" t="s">
        <v>28</v>
      </c>
      <c r="B20" s="16" t="n">
        <v>66</v>
      </c>
      <c r="C20" s="16" t="n">
        <v>15</v>
      </c>
    </row>
    <row r="21" customFormat="false" ht="15" hidden="false" customHeight="false" outlineLevel="0" collapsed="false">
      <c r="A21" s="15" t="s">
        <v>29</v>
      </c>
      <c r="B21" s="16" t="n">
        <v>69</v>
      </c>
      <c r="C21" s="16" t="n">
        <v>16</v>
      </c>
    </row>
    <row r="22" customFormat="false" ht="15" hidden="false" customHeight="false" outlineLevel="0" collapsed="false">
      <c r="A22" s="15" t="s">
        <v>30</v>
      </c>
      <c r="B22" s="16" t="n">
        <v>72</v>
      </c>
      <c r="C22" s="16" t="n">
        <v>17</v>
      </c>
    </row>
    <row r="23" customFormat="false" ht="15" hidden="false" customHeight="false" outlineLevel="0" collapsed="false">
      <c r="A23" s="15" t="s">
        <v>31</v>
      </c>
      <c r="B23" s="16" t="n">
        <v>75</v>
      </c>
      <c r="C23" s="16" t="n">
        <v>18</v>
      </c>
    </row>
    <row r="24" customFormat="false" ht="15" hidden="false" customHeight="false" outlineLevel="0" collapsed="false">
      <c r="A24" s="15" t="s">
        <v>32</v>
      </c>
      <c r="B24" s="16" t="n">
        <v>78</v>
      </c>
      <c r="C24" s="16" t="n">
        <v>18</v>
      </c>
    </row>
    <row r="25" customFormat="false" ht="15" hidden="false" customHeight="false" outlineLevel="0" collapsed="false">
      <c r="A25" s="15" t="s">
        <v>33</v>
      </c>
      <c r="B25" s="16" t="n">
        <v>81</v>
      </c>
      <c r="C25" s="16" t="n">
        <v>19</v>
      </c>
    </row>
    <row r="26" customFormat="false" ht="15" hidden="false" customHeight="false" outlineLevel="0" collapsed="false">
      <c r="A26" s="15" t="s">
        <v>34</v>
      </c>
      <c r="B26" s="16" t="n">
        <v>84</v>
      </c>
      <c r="C26" s="16" t="n">
        <v>20</v>
      </c>
    </row>
    <row r="27" customFormat="false" ht="15" hidden="false" customHeight="false" outlineLevel="0" collapsed="false">
      <c r="A27" s="15" t="s">
        <v>35</v>
      </c>
      <c r="B27" s="16" t="n">
        <v>87</v>
      </c>
      <c r="C27" s="16" t="n">
        <v>20</v>
      </c>
    </row>
    <row r="28" customFormat="false" ht="15" hidden="false" customHeight="false" outlineLevel="0" collapsed="false">
      <c r="A28" s="19" t="s">
        <v>36</v>
      </c>
      <c r="B28" s="12" t="n">
        <v>90</v>
      </c>
      <c r="C28" s="12" t="n">
        <v>21</v>
      </c>
      <c r="E28" s="20" t="s">
        <v>37</v>
      </c>
    </row>
    <row r="29" customFormat="false" ht="17.35" hidden="false" customHeight="false" outlineLevel="0" collapsed="false">
      <c r="A29" s="7"/>
    </row>
    <row r="30" customFormat="false" ht="145.5" hidden="false" customHeight="true" outlineLevel="0" collapsed="false">
      <c r="A30" s="21" t="s">
        <v>38</v>
      </c>
      <c r="B30" s="21"/>
      <c r="C30" s="21"/>
    </row>
    <row r="31" customFormat="false" ht="17.35" hidden="false" customHeight="false" outlineLevel="0" collapsed="false">
      <c r="A31" s="7"/>
    </row>
    <row r="32" customFormat="false" ht="17.35" hidden="false" customHeight="false" outlineLevel="0" collapsed="false">
      <c r="A32" s="22" t="s">
        <v>39</v>
      </c>
    </row>
    <row r="33" customFormat="false" ht="17.35" hidden="false" customHeight="false" outlineLevel="0" collapsed="false">
      <c r="A33" s="7"/>
    </row>
    <row r="34" customFormat="false" ht="15" hidden="false" customHeight="false" outlineLevel="0" collapsed="false">
      <c r="A34" s="5" t="s">
        <v>40</v>
      </c>
      <c r="B34" s="5"/>
      <c r="C34" s="5"/>
    </row>
    <row r="35" customFormat="false" ht="15" hidden="false" customHeight="false" outlineLevel="0" collapsed="false">
      <c r="A35" s="5"/>
      <c r="B35" s="5"/>
      <c r="C35" s="5"/>
    </row>
    <row r="36" customFormat="false" ht="15" hidden="false" customHeight="false" outlineLevel="0" collapsed="false">
      <c r="A36" s="5" t="s">
        <v>41</v>
      </c>
      <c r="B36" s="5"/>
      <c r="C36" s="5"/>
    </row>
    <row r="37" customFormat="false" ht="15" hidden="false" customHeight="false" outlineLevel="0" collapsed="false">
      <c r="A37" s="5"/>
      <c r="B37" s="5"/>
      <c r="C37" s="5"/>
    </row>
    <row r="40" customFormat="false" ht="15" hidden="false" customHeight="false" outlineLevel="0" collapsed="false">
      <c r="A40" s="23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E27" activeCellId="0" sqref="E27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100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39" t="s">
        <v>280</v>
      </c>
      <c r="B1" s="39"/>
      <c r="C1" s="39"/>
      <c r="D1" s="39"/>
      <c r="E1" s="39"/>
      <c r="F1" s="39"/>
      <c r="G1" s="39"/>
      <c r="H1" s="39"/>
    </row>
    <row r="2" customFormat="false" ht="15" hidden="false" customHeight="true" outlineLevel="0" collapsed="false">
      <c r="A2" s="39" t="s">
        <v>281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230" t="s">
        <v>265</v>
      </c>
      <c r="B3" s="231" t="s">
        <v>282</v>
      </c>
      <c r="C3" s="231" t="s">
        <v>283</v>
      </c>
      <c r="D3" s="231" t="s">
        <v>284</v>
      </c>
      <c r="E3" s="231" t="s">
        <v>285</v>
      </c>
      <c r="F3" s="231" t="s">
        <v>269</v>
      </c>
      <c r="G3" s="231" t="s">
        <v>270</v>
      </c>
      <c r="H3" s="232" t="s">
        <v>286</v>
      </c>
    </row>
    <row r="4" customFormat="false" ht="15" hidden="false" customHeight="true" outlineLevel="0" collapsed="false">
      <c r="A4" s="233" t="n">
        <v>1</v>
      </c>
      <c r="B4" s="234" t="s">
        <v>287</v>
      </c>
      <c r="C4" s="235" t="s">
        <v>288</v>
      </c>
      <c r="D4" s="236" t="n">
        <v>350</v>
      </c>
      <c r="E4" s="236" t="n">
        <f aca="false">D4*12</f>
        <v>4200</v>
      </c>
      <c r="F4" s="237" t="n">
        <f aca="false">32.7/100</f>
        <v>0.327</v>
      </c>
      <c r="G4" s="238" t="n">
        <f aca="false">F4*E4</f>
        <v>1373.4</v>
      </c>
      <c r="H4" s="239" t="n">
        <f aca="false">F4*D4</f>
        <v>114.45</v>
      </c>
    </row>
    <row r="5" customFormat="false" ht="15" hidden="false" customHeight="true" outlineLevel="0" collapsed="false">
      <c r="A5" s="240" t="n">
        <v>2</v>
      </c>
      <c r="B5" s="241" t="s">
        <v>289</v>
      </c>
      <c r="C5" s="63" t="s">
        <v>288</v>
      </c>
      <c r="D5" s="242" t="n">
        <v>150</v>
      </c>
      <c r="E5" s="242" t="n">
        <f aca="false">D5*12</f>
        <v>1800</v>
      </c>
      <c r="F5" s="243" t="n">
        <f aca="false">45.09/100</f>
        <v>0.4509</v>
      </c>
      <c r="G5" s="244" t="n">
        <f aca="false">F5*E5</f>
        <v>811.62</v>
      </c>
      <c r="H5" s="245" t="n">
        <f aca="false">F5*D5</f>
        <v>67.635</v>
      </c>
    </row>
    <row r="6" customFormat="false" ht="15" hidden="false" customHeight="true" outlineLevel="0" collapsed="false">
      <c r="A6" s="246" t="n">
        <v>3</v>
      </c>
      <c r="B6" s="247" t="s">
        <v>290</v>
      </c>
      <c r="C6" s="46" t="s">
        <v>288</v>
      </c>
      <c r="D6" s="248" t="n">
        <v>200</v>
      </c>
      <c r="E6" s="248" t="n">
        <f aca="false">D6*12</f>
        <v>2400</v>
      </c>
      <c r="F6" s="243" t="n">
        <f aca="false">68.8/100</f>
        <v>0.688</v>
      </c>
      <c r="G6" s="244" t="n">
        <f aca="false">F6*E6</f>
        <v>1651.2</v>
      </c>
      <c r="H6" s="245" t="n">
        <f aca="false">F6*D6</f>
        <v>137.6</v>
      </c>
    </row>
    <row r="7" customFormat="false" ht="30" hidden="false" customHeight="true" outlineLevel="0" collapsed="false">
      <c r="A7" s="240" t="n">
        <v>4</v>
      </c>
      <c r="B7" s="241" t="s">
        <v>291</v>
      </c>
      <c r="C7" s="63" t="s">
        <v>288</v>
      </c>
      <c r="D7" s="242" t="n">
        <v>60</v>
      </c>
      <c r="E7" s="242" t="n">
        <f aca="false">D7*12</f>
        <v>720</v>
      </c>
      <c r="F7" s="243" t="n">
        <v>5.7</v>
      </c>
      <c r="G7" s="244" t="n">
        <f aca="false">F7*E7</f>
        <v>4104</v>
      </c>
      <c r="H7" s="245" t="n">
        <f aca="false">F7*D7</f>
        <v>342</v>
      </c>
    </row>
    <row r="8" customFormat="false" ht="15" hidden="false" customHeight="true" outlineLevel="0" collapsed="false">
      <c r="A8" s="240" t="n">
        <v>5</v>
      </c>
      <c r="B8" s="241" t="s">
        <v>292</v>
      </c>
      <c r="C8" s="63" t="s">
        <v>293</v>
      </c>
      <c r="D8" s="242" t="n">
        <v>4</v>
      </c>
      <c r="E8" s="242" t="n">
        <f aca="false">D8*12</f>
        <v>48</v>
      </c>
      <c r="F8" s="249" t="n">
        <v>10.71</v>
      </c>
      <c r="G8" s="244" t="n">
        <f aca="false">F8*E8</f>
        <v>514.08</v>
      </c>
      <c r="H8" s="245" t="n">
        <f aca="false">F8*D8</f>
        <v>42.84</v>
      </c>
    </row>
    <row r="9" customFormat="false" ht="15" hidden="false" customHeight="true" outlineLevel="0" collapsed="false">
      <c r="A9" s="240" t="n">
        <v>6</v>
      </c>
      <c r="B9" s="241" t="s">
        <v>294</v>
      </c>
      <c r="C9" s="63" t="s">
        <v>293</v>
      </c>
      <c r="D9" s="242" t="n">
        <v>4</v>
      </c>
      <c r="E9" s="242" t="n">
        <f aca="false">D9*12</f>
        <v>48</v>
      </c>
      <c r="F9" s="249" t="n">
        <v>26.7</v>
      </c>
      <c r="G9" s="244" t="n">
        <f aca="false">F9*E9</f>
        <v>1281.6</v>
      </c>
      <c r="H9" s="245" t="n">
        <f aca="false">F9*D9</f>
        <v>106.8</v>
      </c>
    </row>
    <row r="10" customFormat="false" ht="15" hidden="false" customHeight="true" outlineLevel="0" collapsed="false">
      <c r="A10" s="240" t="n">
        <v>7</v>
      </c>
      <c r="B10" s="241" t="s">
        <v>295</v>
      </c>
      <c r="C10" s="63" t="s">
        <v>293</v>
      </c>
      <c r="D10" s="242" t="n">
        <v>4</v>
      </c>
      <c r="E10" s="242" t="n">
        <f aca="false">D10*12</f>
        <v>48</v>
      </c>
      <c r="F10" s="249" t="n">
        <v>15</v>
      </c>
      <c r="G10" s="244" t="n">
        <f aca="false">F10*E10</f>
        <v>720</v>
      </c>
      <c r="H10" s="245" t="n">
        <f aca="false">F10*D10</f>
        <v>60</v>
      </c>
    </row>
    <row r="11" customFormat="false" ht="15" hidden="false" customHeight="true" outlineLevel="0" collapsed="false">
      <c r="A11" s="240" t="n">
        <v>8</v>
      </c>
      <c r="B11" s="241" t="s">
        <v>296</v>
      </c>
      <c r="C11" s="63" t="s">
        <v>297</v>
      </c>
      <c r="D11" s="242" t="n">
        <v>10</v>
      </c>
      <c r="E11" s="242" t="n">
        <f aca="false">D11*12</f>
        <v>120</v>
      </c>
      <c r="F11" s="249" t="n">
        <f aca="false">6.2*2</f>
        <v>12.4</v>
      </c>
      <c r="G11" s="244" t="n">
        <f aca="false">F11*E11</f>
        <v>1488</v>
      </c>
      <c r="H11" s="245" t="n">
        <f aca="false">F11*D11</f>
        <v>124</v>
      </c>
    </row>
    <row r="12" customFormat="false" ht="15" hidden="false" customHeight="true" outlineLevel="0" collapsed="false">
      <c r="A12" s="250" t="n">
        <v>9</v>
      </c>
      <c r="B12" s="251" t="s">
        <v>298</v>
      </c>
      <c r="C12" s="67" t="s">
        <v>297</v>
      </c>
      <c r="D12" s="252" t="n">
        <v>10</v>
      </c>
      <c r="E12" s="252" t="n">
        <f aca="false">D12*12</f>
        <v>120</v>
      </c>
      <c r="F12" s="253" t="n">
        <v>5.7</v>
      </c>
      <c r="G12" s="51" t="n">
        <f aca="false">F12*E12</f>
        <v>684</v>
      </c>
      <c r="H12" s="254" t="n">
        <f aca="false">F12*D12</f>
        <v>57</v>
      </c>
    </row>
    <row r="13" customFormat="false" ht="15" hidden="false" customHeight="true" outlineLevel="0" collapsed="false">
      <c r="A13" s="255"/>
      <c r="B13" s="255"/>
      <c r="C13" s="255"/>
      <c r="D13" s="255"/>
      <c r="E13" s="255"/>
      <c r="F13" s="255"/>
      <c r="G13" s="256" t="n">
        <f aca="false">SUM(G4:G12)</f>
        <v>12627.9</v>
      </c>
      <c r="H13" s="255" t="n">
        <f aca="false">SUM(H4:H12)</f>
        <v>1052.325</v>
      </c>
    </row>
    <row r="14" customFormat="false" ht="15" hidden="false" customHeight="true" outlineLevel="0" collapsed="false">
      <c r="A14" s="257" t="s">
        <v>299</v>
      </c>
      <c r="B14" s="257"/>
      <c r="C14" s="257"/>
      <c r="D14" s="257"/>
      <c r="E14" s="257"/>
      <c r="F14" s="257"/>
      <c r="G14" s="257"/>
      <c r="H14" s="258" t="n">
        <f aca="false">H13/('PLANILHA '!E19+'PLANILHA '!E20)</f>
        <v>263.08125</v>
      </c>
    </row>
    <row r="15" customFormat="false" ht="15" hidden="false" customHeight="true" outlineLevel="0" collapsed="false">
      <c r="A15" s="259" t="s">
        <v>300</v>
      </c>
      <c r="B15" s="259"/>
      <c r="C15" s="259"/>
      <c r="D15" s="259"/>
      <c r="E15" s="259"/>
      <c r="F15" s="259"/>
      <c r="G15" s="259"/>
      <c r="H15" s="259"/>
    </row>
    <row r="16" customFormat="false" ht="30" hidden="false" customHeight="true" outlineLevel="0" collapsed="false">
      <c r="A16" s="260" t="s">
        <v>301</v>
      </c>
      <c r="B16" s="260"/>
      <c r="C16" s="260"/>
      <c r="D16" s="260"/>
      <c r="E16" s="260"/>
      <c r="F16" s="260"/>
      <c r="G16" s="260"/>
      <c r="H16" s="260"/>
    </row>
    <row r="17" customFormat="false" ht="30" hidden="false" customHeight="true" outlineLevel="0" collapsed="false">
      <c r="A17" s="260" t="s">
        <v>302</v>
      </c>
      <c r="B17" s="260"/>
      <c r="C17" s="260"/>
      <c r="D17" s="260"/>
      <c r="E17" s="260"/>
      <c r="F17" s="260"/>
      <c r="G17" s="260"/>
      <c r="H17" s="260"/>
    </row>
    <row r="18" customFormat="false" ht="30" hidden="false" customHeight="true" outlineLevel="0" collapsed="false">
      <c r="A18" s="260" t="s">
        <v>303</v>
      </c>
      <c r="B18" s="260"/>
      <c r="C18" s="260"/>
      <c r="D18" s="260"/>
      <c r="E18" s="260"/>
      <c r="F18" s="260"/>
      <c r="G18" s="260"/>
      <c r="H18" s="260"/>
    </row>
    <row r="19" customFormat="false" ht="30" hidden="false" customHeight="true" outlineLevel="0" collapsed="false">
      <c r="A19" s="260" t="s">
        <v>304</v>
      </c>
      <c r="B19" s="260"/>
      <c r="C19" s="260"/>
      <c r="D19" s="260"/>
      <c r="E19" s="260"/>
      <c r="F19" s="260"/>
      <c r="G19" s="260"/>
      <c r="H19" s="260"/>
    </row>
  </sheetData>
  <mergeCells count="9">
    <mergeCell ref="A1:H1"/>
    <mergeCell ref="A2:H2"/>
    <mergeCell ref="A13:F13"/>
    <mergeCell ref="A14:G14"/>
    <mergeCell ref="A15:H15"/>
    <mergeCell ref="A16:H16"/>
    <mergeCell ref="A17:H17"/>
    <mergeCell ref="A18:H18"/>
    <mergeCell ref="A19:H19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1" activeCellId="0" sqref="G11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100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58" t="s">
        <v>305</v>
      </c>
      <c r="B1" s="58"/>
      <c r="C1" s="58"/>
      <c r="D1" s="58"/>
      <c r="E1" s="58"/>
      <c r="F1" s="58"/>
      <c r="G1" s="58"/>
      <c r="H1" s="58"/>
    </row>
    <row r="2" customFormat="false" ht="30" hidden="false" customHeight="true" outlineLevel="0" collapsed="false">
      <c r="A2" s="230" t="s">
        <v>265</v>
      </c>
      <c r="B2" s="231" t="s">
        <v>282</v>
      </c>
      <c r="C2" s="231" t="s">
        <v>283</v>
      </c>
      <c r="D2" s="231" t="s">
        <v>268</v>
      </c>
      <c r="E2" s="231" t="s">
        <v>306</v>
      </c>
      <c r="F2" s="231" t="s">
        <v>269</v>
      </c>
      <c r="G2" s="231" t="s">
        <v>270</v>
      </c>
      <c r="H2" s="232" t="s">
        <v>286</v>
      </c>
    </row>
    <row r="3" customFormat="false" ht="15" hidden="false" customHeight="true" outlineLevel="0" collapsed="false">
      <c r="A3" s="261" t="n">
        <v>1</v>
      </c>
      <c r="B3" s="262" t="s">
        <v>307</v>
      </c>
      <c r="C3" s="263" t="s">
        <v>288</v>
      </c>
      <c r="D3" s="264" t="n">
        <v>30</v>
      </c>
      <c r="E3" s="263" t="n">
        <v>24</v>
      </c>
      <c r="F3" s="265" t="n">
        <v>75.5</v>
      </c>
      <c r="G3" s="238" t="n">
        <f aca="false">F3*D3</f>
        <v>2265</v>
      </c>
      <c r="H3" s="266" t="n">
        <f aca="false">G3/E3</f>
        <v>94.375</v>
      </c>
    </row>
    <row r="4" customFormat="false" ht="15" hidden="false" customHeight="true" outlineLevel="0" collapsed="false">
      <c r="A4" s="246" t="n">
        <v>2</v>
      </c>
      <c r="B4" s="247" t="s">
        <v>308</v>
      </c>
      <c r="C4" s="46" t="s">
        <v>288</v>
      </c>
      <c r="D4" s="267" t="n">
        <v>20</v>
      </c>
      <c r="E4" s="46" t="n">
        <v>24</v>
      </c>
      <c r="F4" s="268" t="n">
        <v>268.97</v>
      </c>
      <c r="G4" s="244" t="n">
        <f aca="false">F4*D4</f>
        <v>5379.4</v>
      </c>
      <c r="H4" s="269" t="n">
        <f aca="false">G4/E4</f>
        <v>224.141666666667</v>
      </c>
    </row>
    <row r="5" customFormat="false" ht="15" hidden="false" customHeight="true" outlineLevel="0" collapsed="false">
      <c r="A5" s="246" t="n">
        <v>3</v>
      </c>
      <c r="B5" s="247" t="s">
        <v>309</v>
      </c>
      <c r="C5" s="46" t="s">
        <v>288</v>
      </c>
      <c r="D5" s="267" t="n">
        <v>45</v>
      </c>
      <c r="E5" s="46" t="n">
        <v>24</v>
      </c>
      <c r="F5" s="268" t="n">
        <v>25.85</v>
      </c>
      <c r="G5" s="244" t="n">
        <f aca="false">F5*D5</f>
        <v>1163.25</v>
      </c>
      <c r="H5" s="269" t="n">
        <f aca="false">G5/E5</f>
        <v>48.46875</v>
      </c>
    </row>
    <row r="6" customFormat="false" ht="30" hidden="false" customHeight="true" outlineLevel="0" collapsed="false">
      <c r="A6" s="240" t="n">
        <v>4</v>
      </c>
      <c r="B6" s="241" t="s">
        <v>310</v>
      </c>
      <c r="C6" s="63" t="s">
        <v>288</v>
      </c>
      <c r="D6" s="270" t="n">
        <v>40</v>
      </c>
      <c r="E6" s="216" t="n">
        <v>24</v>
      </c>
      <c r="F6" s="243" t="n">
        <v>309.86</v>
      </c>
      <c r="G6" s="244" t="n">
        <f aca="false">F6*D6</f>
        <v>12394.4</v>
      </c>
      <c r="H6" s="269" t="n">
        <f aca="false">G6/E6</f>
        <v>516.433333333333</v>
      </c>
    </row>
    <row r="7" customFormat="false" ht="30" hidden="false" customHeight="true" outlineLevel="0" collapsed="false">
      <c r="A7" s="246" t="n">
        <v>5</v>
      </c>
      <c r="B7" s="247" t="s">
        <v>311</v>
      </c>
      <c r="C7" s="46" t="s">
        <v>288</v>
      </c>
      <c r="D7" s="271" t="n">
        <v>5</v>
      </c>
      <c r="E7" s="46" t="n">
        <v>24</v>
      </c>
      <c r="F7" s="268" t="n">
        <v>499.9</v>
      </c>
      <c r="G7" s="244" t="n">
        <f aca="false">F7*D7</f>
        <v>2499.5</v>
      </c>
      <c r="H7" s="269" t="n">
        <f aca="false">G7/E7</f>
        <v>104.145833333333</v>
      </c>
    </row>
    <row r="8" customFormat="false" ht="30" hidden="false" customHeight="true" outlineLevel="0" collapsed="false">
      <c r="A8" s="272" t="n">
        <v>6</v>
      </c>
      <c r="B8" s="273" t="s">
        <v>312</v>
      </c>
      <c r="C8" s="45" t="s">
        <v>288</v>
      </c>
      <c r="D8" s="274" t="n">
        <v>1</v>
      </c>
      <c r="E8" s="45" t="n">
        <v>36</v>
      </c>
      <c r="F8" s="275" t="n">
        <v>948.54</v>
      </c>
      <c r="G8" s="51" t="n">
        <f aca="false">F8*D8</f>
        <v>948.54</v>
      </c>
      <c r="H8" s="276" t="n">
        <f aca="false">G8/E8</f>
        <v>26.3483333333333</v>
      </c>
    </row>
    <row r="9" customFormat="false" ht="15.75" hidden="false" customHeight="true" outlineLevel="0" collapsed="false">
      <c r="A9" s="277" t="s">
        <v>313</v>
      </c>
      <c r="B9" s="277"/>
      <c r="C9" s="277"/>
      <c r="D9" s="277"/>
      <c r="E9" s="277"/>
      <c r="F9" s="277"/>
      <c r="G9" s="277"/>
      <c r="H9" s="277"/>
    </row>
    <row r="10" customFormat="false" ht="30" hidden="false" customHeight="true" outlineLevel="0" collapsed="false">
      <c r="A10" s="230" t="s">
        <v>265</v>
      </c>
      <c r="B10" s="231" t="s">
        <v>282</v>
      </c>
      <c r="C10" s="231" t="s">
        <v>283</v>
      </c>
      <c r="D10" s="231" t="s">
        <v>268</v>
      </c>
      <c r="E10" s="231" t="s">
        <v>306</v>
      </c>
      <c r="F10" s="231" t="s">
        <v>269</v>
      </c>
      <c r="G10" s="231" t="s">
        <v>270</v>
      </c>
      <c r="H10" s="232" t="s">
        <v>286</v>
      </c>
    </row>
    <row r="11" customFormat="false" ht="15.75" hidden="false" customHeight="true" outlineLevel="0" collapsed="false">
      <c r="A11" s="278" t="n">
        <v>1</v>
      </c>
      <c r="B11" s="273" t="s">
        <v>314</v>
      </c>
      <c r="C11" s="45" t="s">
        <v>315</v>
      </c>
      <c r="D11" s="279" t="n">
        <f aca="false">1</f>
        <v>1</v>
      </c>
      <c r="E11" s="45" t="n">
        <v>60</v>
      </c>
      <c r="F11" s="275" t="n">
        <f aca="false">289990/2</f>
        <v>144995</v>
      </c>
      <c r="G11" s="280" t="n">
        <f aca="false">F11*D11</f>
        <v>144995</v>
      </c>
      <c r="H11" s="281" t="n">
        <f aca="false">G11/E11</f>
        <v>2416.58333333333</v>
      </c>
    </row>
    <row r="12" customFormat="false" ht="15" hidden="false" customHeight="false" outlineLevel="0" collapsed="false">
      <c r="A12" s="282"/>
      <c r="B12" s="282"/>
      <c r="C12" s="282"/>
      <c r="D12" s="282"/>
      <c r="E12" s="282"/>
      <c r="F12" s="282"/>
      <c r="G12" s="255" t="n">
        <f aca="false">SUM(G3:G11)</f>
        <v>169645.09</v>
      </c>
      <c r="H12" s="283" t="n">
        <f aca="false">SUM(H3:H11)</f>
        <v>3430.49625</v>
      </c>
    </row>
    <row r="13" customFormat="false" ht="15" hidden="false" customHeight="true" outlineLevel="0" collapsed="false">
      <c r="A13" s="284" t="s">
        <v>299</v>
      </c>
      <c r="B13" s="284"/>
      <c r="C13" s="284"/>
      <c r="D13" s="284"/>
      <c r="E13" s="284"/>
      <c r="F13" s="284"/>
      <c r="G13" s="284"/>
      <c r="H13" s="285" t="n">
        <f aca="false">H12/('PLANILHA '!E19+'PLANILHA '!E20)</f>
        <v>857.6240625</v>
      </c>
    </row>
    <row r="14" customFormat="false" ht="15" hidden="false" customHeight="true" outlineLevel="0" collapsed="false">
      <c r="A14" s="286" t="s">
        <v>300</v>
      </c>
      <c r="B14" s="286"/>
      <c r="C14" s="286"/>
      <c r="D14" s="286"/>
      <c r="E14" s="286"/>
      <c r="F14" s="286"/>
      <c r="G14" s="286"/>
      <c r="H14" s="286"/>
    </row>
    <row r="15" customFormat="false" ht="15" hidden="false" customHeight="true" outlineLevel="0" collapsed="false">
      <c r="A15" s="287" t="s">
        <v>316</v>
      </c>
      <c r="B15" s="287"/>
      <c r="C15" s="287"/>
      <c r="D15" s="287"/>
      <c r="E15" s="287"/>
      <c r="F15" s="287"/>
      <c r="G15" s="287"/>
      <c r="H15" s="287"/>
    </row>
    <row r="16" customFormat="false" ht="15" hidden="false" customHeight="false" outlineLevel="0" collapsed="false">
      <c r="A16" s="287"/>
      <c r="B16" s="287"/>
      <c r="C16" s="287"/>
      <c r="D16" s="287"/>
      <c r="E16" s="287"/>
      <c r="F16" s="287"/>
      <c r="G16" s="287"/>
      <c r="H16" s="287"/>
    </row>
    <row r="17" customFormat="false" ht="15" hidden="false" customHeight="false" outlineLevel="0" collapsed="false">
      <c r="A17" s="287"/>
      <c r="B17" s="287"/>
      <c r="C17" s="287"/>
      <c r="D17" s="287"/>
      <c r="E17" s="287"/>
      <c r="F17" s="287"/>
      <c r="G17" s="287"/>
      <c r="H17" s="287"/>
    </row>
    <row r="18" customFormat="false" ht="15" hidden="false" customHeight="false" outlineLevel="0" collapsed="false">
      <c r="A18" s="287"/>
      <c r="B18" s="287"/>
      <c r="C18" s="287"/>
      <c r="D18" s="287"/>
      <c r="E18" s="287"/>
      <c r="F18" s="287"/>
      <c r="G18" s="287"/>
      <c r="H18" s="287"/>
    </row>
    <row r="19" customFormat="false" ht="15" hidden="false" customHeight="false" outlineLevel="0" collapsed="false">
      <c r="A19" s="287"/>
      <c r="B19" s="287"/>
      <c r="C19" s="287"/>
      <c r="D19" s="287"/>
      <c r="E19" s="287"/>
      <c r="F19" s="287"/>
      <c r="G19" s="287"/>
      <c r="H19" s="287"/>
    </row>
  </sheetData>
  <mergeCells count="6">
    <mergeCell ref="A1:H1"/>
    <mergeCell ref="A9:H9"/>
    <mergeCell ref="A12:F12"/>
    <mergeCell ref="A13:G13"/>
    <mergeCell ref="A14:H14"/>
    <mergeCell ref="A15:H19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E8" activeCellId="0" sqref="E8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24" width="42.86"/>
    <col collapsed="false" customWidth="true" hidden="false" outlineLevel="0" max="2" min="2" style="24" width="72.57"/>
    <col collapsed="false" customWidth="false" hidden="false" outlineLevel="0" max="16384" min="3" style="25" width="42.86"/>
  </cols>
  <sheetData>
    <row r="1" customFormat="false" ht="18.75" hidden="false" customHeight="true" outlineLevel="0" collapsed="false">
      <c r="A1" s="26" t="s">
        <v>43</v>
      </c>
      <c r="B1" s="26"/>
    </row>
    <row r="2" customFormat="false" ht="18.75" hidden="false" customHeight="false" outlineLevel="0" collapsed="false">
      <c r="A2" s="27" t="s">
        <v>44</v>
      </c>
      <c r="B2" s="27" t="s">
        <v>45</v>
      </c>
    </row>
    <row r="3" customFormat="false" ht="18.75" hidden="false" customHeight="false" outlineLevel="0" collapsed="false">
      <c r="A3" s="28" t="s">
        <v>46</v>
      </c>
      <c r="B3" s="29" t="s">
        <v>47</v>
      </c>
    </row>
    <row r="4" customFormat="false" ht="50.7" hidden="false" customHeight="false" outlineLevel="0" collapsed="false">
      <c r="A4" s="30" t="s">
        <v>48</v>
      </c>
      <c r="B4" s="31" t="s">
        <v>49</v>
      </c>
    </row>
    <row r="5" customFormat="false" ht="18.75" hidden="false" customHeight="false" outlineLevel="0" collapsed="false">
      <c r="A5" s="30" t="s">
        <v>50</v>
      </c>
      <c r="B5" s="31" t="s">
        <v>51</v>
      </c>
    </row>
    <row r="6" customFormat="false" ht="67.15" hidden="false" customHeight="false" outlineLevel="0" collapsed="false">
      <c r="A6" s="30" t="s">
        <v>52</v>
      </c>
      <c r="B6" s="31" t="s">
        <v>53</v>
      </c>
    </row>
    <row r="7" customFormat="false" ht="34.3" hidden="false" customHeight="false" outlineLevel="0" collapsed="false">
      <c r="A7" s="30" t="s">
        <v>54</v>
      </c>
      <c r="B7" s="31" t="s">
        <v>55</v>
      </c>
    </row>
    <row r="8" customFormat="false" ht="18.75" hidden="false" customHeight="false" outlineLevel="0" collapsed="false">
      <c r="A8" s="30" t="s">
        <v>56</v>
      </c>
      <c r="B8" s="31" t="s">
        <v>57</v>
      </c>
    </row>
    <row r="9" customFormat="false" ht="34.3" hidden="false" customHeight="false" outlineLevel="0" collapsed="false">
      <c r="A9" s="30" t="s">
        <v>58</v>
      </c>
      <c r="B9" s="31" t="s">
        <v>59</v>
      </c>
    </row>
    <row r="10" customFormat="false" ht="50.7" hidden="false" customHeight="false" outlineLevel="0" collapsed="false">
      <c r="A10" s="30" t="s">
        <v>60</v>
      </c>
      <c r="B10" s="31" t="s">
        <v>61</v>
      </c>
    </row>
    <row r="11" customFormat="false" ht="67.15" hidden="false" customHeight="false" outlineLevel="0" collapsed="false">
      <c r="A11" s="30" t="s">
        <v>62</v>
      </c>
      <c r="B11" s="31" t="s">
        <v>63</v>
      </c>
    </row>
    <row r="12" customFormat="false" ht="50.7" hidden="false" customHeight="false" outlineLevel="0" collapsed="false">
      <c r="A12" s="30" t="s">
        <v>60</v>
      </c>
      <c r="B12" s="31" t="s">
        <v>64</v>
      </c>
    </row>
    <row r="13" customFormat="false" ht="34.3" hidden="false" customHeight="false" outlineLevel="0" collapsed="false">
      <c r="A13" s="30" t="s">
        <v>60</v>
      </c>
      <c r="B13" s="31" t="s">
        <v>65</v>
      </c>
    </row>
    <row r="14" customFormat="false" ht="34.3" hidden="false" customHeight="false" outlineLevel="0" collapsed="false">
      <c r="A14" s="30" t="s">
        <v>60</v>
      </c>
      <c r="B14" s="31" t="s">
        <v>66</v>
      </c>
    </row>
    <row r="15" customFormat="false" ht="18.75" hidden="false" customHeight="false" outlineLevel="0" collapsed="false">
      <c r="A15" s="30" t="s">
        <v>60</v>
      </c>
      <c r="B15" s="31" t="s">
        <v>67</v>
      </c>
    </row>
    <row r="16" customFormat="false" ht="34.3" hidden="false" customHeight="false" outlineLevel="0" collapsed="false">
      <c r="A16" s="30" t="s">
        <v>68</v>
      </c>
      <c r="B16" s="31" t="s">
        <v>69</v>
      </c>
    </row>
    <row r="17" customFormat="false" ht="34.3" hidden="false" customHeight="false" outlineLevel="0" collapsed="false">
      <c r="A17" s="30" t="s">
        <v>70</v>
      </c>
      <c r="B17" s="31" t="s">
        <v>71</v>
      </c>
    </row>
    <row r="18" customFormat="false" ht="34.3" hidden="false" customHeight="false" outlineLevel="0" collapsed="false">
      <c r="A18" s="30" t="s">
        <v>60</v>
      </c>
      <c r="B18" s="31" t="s">
        <v>72</v>
      </c>
    </row>
    <row r="19" customFormat="false" ht="34.3" hidden="false" customHeight="false" outlineLevel="0" collapsed="false">
      <c r="A19" s="30" t="s">
        <v>60</v>
      </c>
      <c r="B19" s="31" t="s">
        <v>73</v>
      </c>
    </row>
    <row r="20" customFormat="false" ht="34.3" hidden="false" customHeight="false" outlineLevel="0" collapsed="false">
      <c r="A20" s="30" t="s">
        <v>60</v>
      </c>
      <c r="B20" s="31" t="s">
        <v>74</v>
      </c>
    </row>
    <row r="21" customFormat="false" ht="50.7" hidden="false" customHeight="false" outlineLevel="0" collapsed="false">
      <c r="A21" s="30" t="s">
        <v>60</v>
      </c>
      <c r="B21" s="31" t="s">
        <v>75</v>
      </c>
    </row>
    <row r="22" customFormat="false" ht="18.75" hidden="false" customHeight="false" outlineLevel="0" collapsed="false">
      <c r="A22" s="32" t="s">
        <v>60</v>
      </c>
      <c r="B22" s="33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17" activeCellId="0" sqref="I17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34" width="5.71"/>
    <col collapsed="false" customWidth="true" hidden="false" outlineLevel="0" max="2" min="2" style="35" width="25.71"/>
    <col collapsed="false" customWidth="true" hidden="false" outlineLevel="0" max="4" min="3" style="35" width="15.71"/>
    <col collapsed="false" customWidth="true" hidden="false" outlineLevel="0" max="8" min="5" style="34" width="15.71"/>
    <col collapsed="false" customWidth="true" hidden="false" outlineLevel="0" max="11" min="9" style="36" width="15.71"/>
    <col collapsed="false" customWidth="false" hidden="false" outlineLevel="0" max="16384" min="12" style="34" width="9.14"/>
  </cols>
  <sheetData>
    <row r="1" customFormat="false" ht="15" hidden="false" customHeight="true" outlineLevel="0" collapsed="false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customFormat="false" ht="15" hidden="false" customHeight="true" outlineLevel="0" collapsed="false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customFormat="false" ht="15" hidden="false" customHeight="true" outlineLevel="0" collapsed="false">
      <c r="A3" s="39" t="s">
        <v>78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customFormat="false" ht="45" hidden="false" customHeight="true" outlineLevel="0" collapsed="false">
      <c r="A4" s="40" t="s">
        <v>79</v>
      </c>
      <c r="B4" s="41" t="s">
        <v>80</v>
      </c>
      <c r="C4" s="41" t="s">
        <v>80</v>
      </c>
      <c r="D4" s="41" t="s">
        <v>81</v>
      </c>
      <c r="E4" s="41" t="s">
        <v>82</v>
      </c>
      <c r="F4" s="41" t="s">
        <v>83</v>
      </c>
      <c r="G4" s="41" t="s">
        <v>84</v>
      </c>
      <c r="H4" s="41" t="s">
        <v>85</v>
      </c>
      <c r="I4" s="42" t="s">
        <v>86</v>
      </c>
      <c r="J4" s="42" t="s">
        <v>87</v>
      </c>
      <c r="K4" s="43" t="s">
        <v>88</v>
      </c>
    </row>
    <row r="5" customFormat="false" ht="15" hidden="false" customHeight="true" outlineLevel="0" collapsed="false">
      <c r="A5" s="44" t="n">
        <v>7</v>
      </c>
      <c r="B5" s="45" t="s">
        <v>78</v>
      </c>
      <c r="C5" s="45" t="s">
        <v>89</v>
      </c>
      <c r="D5" s="46" t="s">
        <v>90</v>
      </c>
      <c r="E5" s="46" t="s">
        <v>91</v>
      </c>
      <c r="F5" s="47" t="n">
        <v>479.63</v>
      </c>
      <c r="G5" s="48" t="n">
        <f aca="false">SUM(F5:F7)</f>
        <v>640.67</v>
      </c>
      <c r="H5" s="49" t="n">
        <f aca="false">G5*12</f>
        <v>7688.04</v>
      </c>
      <c r="I5" s="50" t="n">
        <f aca="false">J5/G5</f>
        <v>105.205810870896</v>
      </c>
      <c r="J5" s="51" t="n">
        <f aca="false">F24</f>
        <v>67402.2068506572</v>
      </c>
      <c r="K5" s="52" t="n">
        <f aca="false">J5*12</f>
        <v>808826.482207887</v>
      </c>
    </row>
    <row r="6" customFormat="false" ht="15" hidden="false" customHeight="true" outlineLevel="0" collapsed="false">
      <c r="A6" s="44"/>
      <c r="B6" s="45"/>
      <c r="C6" s="45"/>
      <c r="D6" s="46" t="s">
        <v>92</v>
      </c>
      <c r="E6" s="46" t="s">
        <v>93</v>
      </c>
      <c r="F6" s="47" t="n">
        <v>55.82</v>
      </c>
      <c r="G6" s="48"/>
      <c r="H6" s="49"/>
      <c r="I6" s="50"/>
      <c r="J6" s="50"/>
      <c r="K6" s="52"/>
    </row>
    <row r="7" customFormat="false" ht="15" hidden="false" customHeight="true" outlineLevel="0" collapsed="false">
      <c r="A7" s="44"/>
      <c r="B7" s="45"/>
      <c r="C7" s="45"/>
      <c r="D7" s="45" t="s">
        <v>94</v>
      </c>
      <c r="E7" s="45" t="s">
        <v>93</v>
      </c>
      <c r="F7" s="48" t="n">
        <v>105.22</v>
      </c>
      <c r="G7" s="48"/>
      <c r="H7" s="49"/>
      <c r="I7" s="50"/>
      <c r="J7" s="50"/>
      <c r="K7" s="52"/>
    </row>
    <row r="8" customFormat="false" ht="15" hidden="false" customHeight="true" outlineLevel="0" collapsed="false">
      <c r="A8" s="53"/>
      <c r="B8" s="54"/>
      <c r="C8" s="54"/>
      <c r="D8" s="54"/>
      <c r="E8" s="54"/>
      <c r="F8" s="54"/>
      <c r="G8" s="54"/>
      <c r="H8" s="54"/>
      <c r="I8" s="55" t="s">
        <v>95</v>
      </c>
      <c r="J8" s="56" t="n">
        <f aca="false">J5</f>
        <v>67402.2068506572</v>
      </c>
      <c r="K8" s="56" t="n">
        <f aca="false">J8*12</f>
        <v>808826.482207887</v>
      </c>
    </row>
    <row r="9" customFormat="false" ht="14.25" hidden="false" customHeight="true" outlineLevel="0" collapsed="false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customFormat="false" ht="15" hidden="false" customHeight="true" outlineLevel="0" collapsed="false">
      <c r="A10" s="58" t="s">
        <v>96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customFormat="false" ht="30" hidden="false" customHeight="true" outlineLevel="0" collapsed="false">
      <c r="A11" s="59" t="s">
        <v>97</v>
      </c>
      <c r="B11" s="60" t="s">
        <v>98</v>
      </c>
      <c r="C11" s="60" t="s">
        <v>99</v>
      </c>
      <c r="D11" s="60"/>
      <c r="E11" s="60" t="s">
        <v>100</v>
      </c>
      <c r="F11" s="60"/>
      <c r="G11" s="60" t="s">
        <v>101</v>
      </c>
      <c r="H11" s="60" t="s">
        <v>102</v>
      </c>
      <c r="I11" s="60"/>
      <c r="J11" s="60"/>
      <c r="K11" s="61" t="s">
        <v>103</v>
      </c>
    </row>
    <row r="12" customFormat="false" ht="15" hidden="false" customHeight="true" outlineLevel="0" collapsed="false">
      <c r="A12" s="62" t="n">
        <v>1</v>
      </c>
      <c r="B12" s="63" t="s">
        <v>104</v>
      </c>
      <c r="C12" s="63" t="s">
        <v>105</v>
      </c>
      <c r="D12" s="63"/>
      <c r="E12" s="64" t="s">
        <v>106</v>
      </c>
      <c r="F12" s="64"/>
      <c r="G12" s="63" t="s">
        <v>107</v>
      </c>
      <c r="H12" s="63" t="s">
        <v>108</v>
      </c>
      <c r="I12" s="63"/>
      <c r="J12" s="63"/>
      <c r="K12" s="65" t="n">
        <v>1</v>
      </c>
    </row>
    <row r="13" customFormat="false" ht="15" hidden="false" customHeight="true" outlineLevel="0" collapsed="false">
      <c r="A13" s="62" t="n">
        <v>2</v>
      </c>
      <c r="B13" s="63" t="s">
        <v>104</v>
      </c>
      <c r="C13" s="63" t="s">
        <v>109</v>
      </c>
      <c r="D13" s="63"/>
      <c r="E13" s="64" t="s">
        <v>106</v>
      </c>
      <c r="F13" s="64"/>
      <c r="G13" s="63" t="s">
        <v>110</v>
      </c>
      <c r="H13" s="63" t="s">
        <v>108</v>
      </c>
      <c r="I13" s="63"/>
      <c r="J13" s="63"/>
      <c r="K13" s="65"/>
    </row>
    <row r="14" customFormat="false" ht="15" hidden="false" customHeight="true" outlineLevel="0" collapsed="false">
      <c r="A14" s="66" t="n">
        <v>3</v>
      </c>
      <c r="B14" s="67" t="s">
        <v>111</v>
      </c>
      <c r="C14" s="68" t="s">
        <v>112</v>
      </c>
      <c r="D14" s="68"/>
      <c r="E14" s="68" t="s">
        <v>106</v>
      </c>
      <c r="F14" s="68"/>
      <c r="G14" s="67" t="s">
        <v>107</v>
      </c>
      <c r="H14" s="67" t="s">
        <v>113</v>
      </c>
      <c r="I14" s="67"/>
      <c r="J14" s="67"/>
      <c r="K14" s="69" t="n">
        <v>1</v>
      </c>
    </row>
    <row r="15" customFormat="false" ht="15.75" hidden="false" customHeight="true" outlineLevel="0" collapsed="false">
      <c r="A15" s="70" t="s">
        <v>114</v>
      </c>
      <c r="B15" s="70"/>
      <c r="C15" s="70"/>
      <c r="D15" s="70"/>
      <c r="E15" s="70"/>
      <c r="F15" s="70"/>
      <c r="G15" s="70"/>
      <c r="H15" s="70"/>
      <c r="I15" s="70"/>
      <c r="J15" s="70"/>
      <c r="K15" s="71" t="n">
        <f aca="false">SUM(K12:K14)</f>
        <v>2</v>
      </c>
    </row>
    <row r="16" customFormat="false" ht="13.8" hidden="false" customHeight="false" outlineLevel="0" collapsed="false">
      <c r="A16" s="72"/>
      <c r="B16" s="73"/>
      <c r="C16" s="73"/>
      <c r="D16" s="73"/>
      <c r="E16" s="73"/>
      <c r="F16" s="73"/>
      <c r="G16" s="73"/>
      <c r="H16" s="73"/>
      <c r="I16" s="74"/>
      <c r="J16" s="74"/>
      <c r="K16" s="75"/>
    </row>
    <row r="17" customFormat="false" ht="13.8" hidden="false" customHeight="false" outlineLevel="0" collapsed="false">
      <c r="A17" s="76" t="s">
        <v>115</v>
      </c>
      <c r="B17" s="76"/>
      <c r="C17" s="76"/>
      <c r="D17" s="76"/>
      <c r="E17" s="76"/>
      <c r="F17" s="76"/>
      <c r="G17" s="76"/>
      <c r="H17" s="77"/>
      <c r="I17" s="74"/>
      <c r="J17" s="74"/>
      <c r="K17" s="75"/>
    </row>
    <row r="18" customFormat="false" ht="35.05" hidden="false" customHeight="false" outlineLevel="0" collapsed="false">
      <c r="A18" s="59" t="s">
        <v>79</v>
      </c>
      <c r="B18" s="78" t="s">
        <v>116</v>
      </c>
      <c r="C18" s="78"/>
      <c r="D18" s="60" t="s">
        <v>117</v>
      </c>
      <c r="E18" s="60" t="s">
        <v>118</v>
      </c>
      <c r="F18" s="79" t="s">
        <v>119</v>
      </c>
      <c r="G18" s="80" t="s">
        <v>120</v>
      </c>
      <c r="H18" s="73"/>
      <c r="I18" s="74"/>
      <c r="J18" s="74"/>
      <c r="K18" s="75"/>
    </row>
    <row r="19" customFormat="false" ht="13.5" hidden="false" customHeight="true" outlineLevel="0" collapsed="false">
      <c r="A19" s="81" t="n">
        <v>1</v>
      </c>
      <c r="B19" s="63" t="s">
        <v>121</v>
      </c>
      <c r="C19" s="63"/>
      <c r="D19" s="82" t="n">
        <f aca="false">'Agente de Coleta - Diurno '!E112</f>
        <v>8871.00277648035</v>
      </c>
      <c r="E19" s="83" t="n">
        <f aca="false">K12*2</f>
        <v>2</v>
      </c>
      <c r="F19" s="82" t="n">
        <f aca="false">D19*E19</f>
        <v>17742.0055529607</v>
      </c>
      <c r="G19" s="84" t="n">
        <f aca="false">F19*12</f>
        <v>212904.066635528</v>
      </c>
      <c r="H19" s="73"/>
      <c r="I19" s="74"/>
      <c r="J19" s="74"/>
      <c r="K19" s="75"/>
    </row>
    <row r="20" customFormat="false" ht="13.5" hidden="false" customHeight="true" outlineLevel="0" collapsed="false">
      <c r="A20" s="81" t="n">
        <v>2</v>
      </c>
      <c r="B20" s="63" t="s">
        <v>122</v>
      </c>
      <c r="C20" s="63"/>
      <c r="D20" s="82" t="n">
        <f aca="false">'Agente de Coleta - Noturno '!E112</f>
        <v>9561.55957453837</v>
      </c>
      <c r="E20" s="83" t="n">
        <f aca="false">K12*2</f>
        <v>2</v>
      </c>
      <c r="F20" s="82" t="n">
        <f aca="false">D20*E20</f>
        <v>19123.1191490767</v>
      </c>
      <c r="G20" s="84" t="n">
        <f aca="false">F20*12</f>
        <v>229477.429788921</v>
      </c>
      <c r="H20" s="73"/>
      <c r="I20" s="74"/>
      <c r="J20" s="74"/>
      <c r="K20" s="75"/>
    </row>
    <row r="21" customFormat="false" ht="13.5" hidden="false" customHeight="true" outlineLevel="0" collapsed="false">
      <c r="A21" s="81" t="n">
        <v>3</v>
      </c>
      <c r="B21" s="63" t="s">
        <v>123</v>
      </c>
      <c r="C21" s="63"/>
      <c r="D21" s="82" t="n">
        <f aca="false">Motorista!E112</f>
        <v>10996.688434011</v>
      </c>
      <c r="E21" s="83" t="n">
        <v>1</v>
      </c>
      <c r="F21" s="82" t="n">
        <f aca="false">D21*E21</f>
        <v>10996.688434011</v>
      </c>
      <c r="G21" s="84" t="n">
        <f aca="false">F21*12</f>
        <v>131960.261208132</v>
      </c>
      <c r="H21" s="73"/>
      <c r="I21" s="74"/>
      <c r="J21" s="74"/>
      <c r="K21" s="75"/>
    </row>
    <row r="22" customFormat="false" ht="13.5" hidden="false" customHeight="true" outlineLevel="0" collapsed="false">
      <c r="A22" s="81" t="n">
        <v>4</v>
      </c>
      <c r="B22" s="63" t="s">
        <v>124</v>
      </c>
      <c r="C22" s="63"/>
      <c r="D22" s="82" t="n">
        <f aca="false">'Responsavel Tecnico'!E112</f>
        <v>9479.29652606129</v>
      </c>
      <c r="E22" s="83" t="n">
        <v>1</v>
      </c>
      <c r="F22" s="82" t="n">
        <f aca="false">D22*E22</f>
        <v>9479.29652606129</v>
      </c>
      <c r="G22" s="84" t="n">
        <f aca="false">F22*12</f>
        <v>113751.558312735</v>
      </c>
      <c r="H22" s="73"/>
      <c r="I22" s="74"/>
      <c r="J22" s="74"/>
      <c r="K22" s="75"/>
    </row>
    <row r="23" customFormat="false" ht="13.5" hidden="false" customHeight="true" outlineLevel="0" collapsed="false">
      <c r="A23" s="85" t="n">
        <v>5</v>
      </c>
      <c r="B23" s="67" t="s">
        <v>125</v>
      </c>
      <c r="C23" s="67"/>
      <c r="D23" s="86" t="n">
        <f aca="false">Encarregado!E112</f>
        <v>10061.0971885475</v>
      </c>
      <c r="E23" s="87" t="n">
        <f aca="false">K14</f>
        <v>1</v>
      </c>
      <c r="F23" s="86" t="n">
        <f aca="false">D23*E23</f>
        <v>10061.0971885475</v>
      </c>
      <c r="G23" s="88" t="n">
        <f aca="false">F23*12</f>
        <v>120733.166262571</v>
      </c>
      <c r="H23" s="73"/>
      <c r="I23" s="74"/>
      <c r="J23" s="74"/>
      <c r="K23" s="75"/>
    </row>
    <row r="24" customFormat="false" ht="13.8" hidden="false" customHeight="false" outlineLevel="0" collapsed="false">
      <c r="A24" s="89"/>
      <c r="B24" s="89"/>
      <c r="C24" s="89"/>
      <c r="D24" s="89"/>
      <c r="E24" s="90" t="n">
        <f aca="false">SUM(E19:E23)</f>
        <v>7</v>
      </c>
      <c r="F24" s="91" t="n">
        <f aca="false">SUM(F19:F23)</f>
        <v>67402.2068506572</v>
      </c>
      <c r="G24" s="91" t="n">
        <f aca="false">SUM(G19:G23)</f>
        <v>808826.482207887</v>
      </c>
      <c r="H24" s="73"/>
      <c r="I24" s="74"/>
      <c r="J24" s="74"/>
      <c r="K24" s="75"/>
    </row>
    <row r="25" customFormat="false" ht="13.8" hidden="false" customHeight="false" outlineLevel="0" collapsed="false">
      <c r="A25" s="92" t="s">
        <v>126</v>
      </c>
      <c r="B25" s="92"/>
      <c r="C25" s="92"/>
      <c r="D25" s="92"/>
      <c r="E25" s="92"/>
      <c r="F25" s="92"/>
      <c r="G25" s="56" t="n">
        <f aca="false">G24</f>
        <v>808826.482207887</v>
      </c>
      <c r="H25" s="93"/>
      <c r="I25" s="94"/>
      <c r="J25" s="94"/>
      <c r="K25" s="95"/>
    </row>
    <row r="26" customFormat="false" ht="13.8" hidden="false" customHeight="false" outlineLevel="0" collapsed="false">
      <c r="A26" s="96"/>
      <c r="B26" s="97"/>
      <c r="C26" s="97"/>
      <c r="D26" s="97"/>
      <c r="E26" s="96"/>
      <c r="F26" s="96"/>
      <c r="G26" s="96"/>
      <c r="H26" s="96"/>
      <c r="I26" s="98"/>
      <c r="J26" s="98"/>
      <c r="K26" s="98"/>
    </row>
  </sheetData>
  <mergeCells count="36">
    <mergeCell ref="A1:K1"/>
    <mergeCell ref="A2:K2"/>
    <mergeCell ref="A3:K3"/>
    <mergeCell ref="A5:A7"/>
    <mergeCell ref="B5:B7"/>
    <mergeCell ref="C5:C7"/>
    <mergeCell ref="G5:G7"/>
    <mergeCell ref="H5:H7"/>
    <mergeCell ref="I5:I7"/>
    <mergeCell ref="J5:J7"/>
    <mergeCell ref="K5:K7"/>
    <mergeCell ref="A9:K9"/>
    <mergeCell ref="A10:K10"/>
    <mergeCell ref="C11:D11"/>
    <mergeCell ref="E11:F11"/>
    <mergeCell ref="H11:J11"/>
    <mergeCell ref="C12:D12"/>
    <mergeCell ref="E12:F12"/>
    <mergeCell ref="H12:J12"/>
    <mergeCell ref="K12:K13"/>
    <mergeCell ref="C13:D13"/>
    <mergeCell ref="E13:F13"/>
    <mergeCell ref="H13:J13"/>
    <mergeCell ref="C14:D14"/>
    <mergeCell ref="E14:F14"/>
    <mergeCell ref="H14:J14"/>
    <mergeCell ref="A15:J15"/>
    <mergeCell ref="A17:G17"/>
    <mergeCell ref="B18:C18"/>
    <mergeCell ref="B19:C19"/>
    <mergeCell ref="B20:C20"/>
    <mergeCell ref="B21:C21"/>
    <mergeCell ref="B22:C22"/>
    <mergeCell ref="B23:C23"/>
    <mergeCell ref="A24:D24"/>
    <mergeCell ref="A25:F25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2"/>
  <sheetViews>
    <sheetView showFormulas="false" showGridLines="true" showRowColHeaders="true" showZeros="true" rightToLeft="false" tabSelected="false" showOutlineSymbols="true" defaultGridColor="true" view="pageBreakPreview" topLeftCell="A31" colorId="64" zoomScale="100" zoomScaleNormal="115" zoomScalePageLayoutView="100" workbookViewId="0">
      <selection pane="topLeft" activeCell="H48" activeCellId="0" sqref="H4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9" width="8.71"/>
    <col collapsed="false" customWidth="true" hidden="false" outlineLevel="0" max="2" min="2" style="100" width="70.71"/>
    <col collapsed="false" customWidth="true" hidden="false" outlineLevel="0" max="3" min="3" style="100" width="12.71"/>
    <col collapsed="false" customWidth="true" hidden="false" outlineLevel="0" max="4" min="4" style="101" width="8.71"/>
    <col collapsed="false" customWidth="true" hidden="false" outlineLevel="0" max="5" min="5" style="102" width="12.71"/>
    <col collapsed="false" customWidth="false" hidden="false" outlineLevel="0" max="16384" min="6" style="103" width="9.14"/>
  </cols>
  <sheetData>
    <row r="1" customFormat="false" ht="15.75" hidden="false" customHeight="false" outlineLevel="0" collapsed="false">
      <c r="A1" s="104"/>
      <c r="B1" s="104"/>
      <c r="C1" s="104"/>
      <c r="D1" s="104"/>
      <c r="E1" s="104"/>
    </row>
    <row r="2" s="106" customFormat="true" ht="16.5" hidden="false" customHeight="true" outlineLevel="0" collapsed="false">
      <c r="A2" s="105"/>
      <c r="B2" s="105"/>
      <c r="C2" s="105"/>
      <c r="D2" s="105"/>
      <c r="E2" s="105"/>
    </row>
    <row r="3" s="106" customFormat="true" ht="15.75" hidden="false" customHeight="false" outlineLevel="0" collapsed="false">
      <c r="A3" s="107" t="s">
        <v>127</v>
      </c>
      <c r="B3" s="107"/>
      <c r="C3" s="107"/>
      <c r="D3" s="107"/>
      <c r="E3" s="107"/>
    </row>
    <row r="4" s="106" customFormat="true" ht="15" hidden="false" customHeight="true" outlineLevel="0" collapsed="false">
      <c r="A4" s="108" t="s">
        <v>90</v>
      </c>
      <c r="B4" s="109" t="s">
        <v>128</v>
      </c>
      <c r="C4" s="110" t="n">
        <v>2025</v>
      </c>
      <c r="D4" s="110"/>
      <c r="E4" s="110"/>
    </row>
    <row r="5" s="106" customFormat="true" ht="75" hidden="false" customHeight="true" outlineLevel="0" collapsed="false">
      <c r="A5" s="108" t="s">
        <v>92</v>
      </c>
      <c r="B5" s="109" t="s">
        <v>129</v>
      </c>
      <c r="C5" s="111" t="s">
        <v>130</v>
      </c>
      <c r="D5" s="111"/>
      <c r="E5" s="111"/>
    </row>
    <row r="6" s="106" customFormat="true" ht="15.75" hidden="false" customHeight="true" outlineLevel="0" collapsed="false">
      <c r="A6" s="108" t="s">
        <v>131</v>
      </c>
      <c r="B6" s="109" t="s">
        <v>132</v>
      </c>
      <c r="C6" s="111" t="s">
        <v>133</v>
      </c>
      <c r="D6" s="111"/>
      <c r="E6" s="111"/>
    </row>
    <row r="7" s="106" customFormat="true" ht="15.75" hidden="false" customHeight="false" outlineLevel="0" collapsed="false">
      <c r="A7" s="108"/>
      <c r="B7" s="109" t="s">
        <v>134</v>
      </c>
      <c r="C7" s="111" t="n">
        <v>12</v>
      </c>
      <c r="D7" s="111"/>
      <c r="E7" s="111"/>
    </row>
    <row r="8" s="106" customFormat="true" ht="15.75" hidden="false" customHeight="false" outlineLevel="0" collapsed="false">
      <c r="A8" s="107" t="s">
        <v>135</v>
      </c>
      <c r="B8" s="107"/>
      <c r="C8" s="107"/>
      <c r="D8" s="107"/>
      <c r="E8" s="107"/>
    </row>
    <row r="9" s="106" customFormat="true" ht="15.75" hidden="false" customHeight="false" outlineLevel="0" collapsed="false">
      <c r="A9" s="107" t="s">
        <v>136</v>
      </c>
      <c r="B9" s="107"/>
      <c r="C9" s="107"/>
      <c r="D9" s="107"/>
      <c r="E9" s="107"/>
    </row>
    <row r="10" s="106" customFormat="true" ht="15.75" hidden="false" customHeight="true" outlineLevel="0" collapsed="false">
      <c r="A10" s="107" t="s">
        <v>137</v>
      </c>
      <c r="B10" s="107"/>
      <c r="C10" s="107"/>
      <c r="D10" s="107"/>
      <c r="E10" s="107"/>
    </row>
    <row r="11" s="106" customFormat="true" ht="30" hidden="false" customHeight="true" outlineLevel="0" collapsed="false">
      <c r="A11" s="112" t="s">
        <v>138</v>
      </c>
      <c r="B11" s="112"/>
      <c r="C11" s="112"/>
      <c r="D11" s="112"/>
      <c r="E11" s="113" t="s">
        <v>139</v>
      </c>
    </row>
    <row r="12" s="106" customFormat="true" ht="75" hidden="false" customHeight="true" outlineLevel="0" collapsed="false">
      <c r="A12" s="108" t="n">
        <v>1</v>
      </c>
      <c r="B12" s="114" t="s">
        <v>140</v>
      </c>
      <c r="C12" s="115" t="s">
        <v>141</v>
      </c>
      <c r="D12" s="115"/>
      <c r="E12" s="115"/>
    </row>
    <row r="13" s="106" customFormat="true" ht="30" hidden="false" customHeight="true" outlineLevel="0" collapsed="false">
      <c r="A13" s="108" t="n">
        <v>2</v>
      </c>
      <c r="B13" s="114" t="s">
        <v>142</v>
      </c>
      <c r="C13" s="116" t="n">
        <v>1974.3</v>
      </c>
      <c r="D13" s="116"/>
      <c r="E13" s="116"/>
    </row>
    <row r="14" s="106" customFormat="true" ht="30" hidden="false" customHeight="true" outlineLevel="0" collapsed="false">
      <c r="A14" s="108" t="n">
        <v>3</v>
      </c>
      <c r="B14" s="114" t="s">
        <v>143</v>
      </c>
      <c r="C14" s="115" t="s">
        <v>144</v>
      </c>
      <c r="D14" s="115"/>
      <c r="E14" s="115"/>
    </row>
    <row r="15" s="106" customFormat="true" ht="15.75" hidden="false" customHeight="false" outlineLevel="0" collapsed="false">
      <c r="A15" s="108" t="n">
        <v>4</v>
      </c>
      <c r="B15" s="117" t="s">
        <v>145</v>
      </c>
      <c r="C15" s="118" t="n">
        <v>45673</v>
      </c>
      <c r="D15" s="118"/>
      <c r="E15" s="118"/>
    </row>
    <row r="16" s="120" customFormat="true" ht="15.75" hidden="false" customHeight="false" outlineLevel="0" collapsed="false">
      <c r="A16" s="119" t="s">
        <v>146</v>
      </c>
      <c r="B16" s="119"/>
      <c r="C16" s="119"/>
      <c r="D16" s="119"/>
      <c r="E16" s="119"/>
    </row>
    <row r="17" s="120" customFormat="true" ht="15.75" hidden="false" customHeight="true" outlineLevel="0" collapsed="false">
      <c r="A17" s="112" t="n">
        <v>1</v>
      </c>
      <c r="B17" s="121" t="s">
        <v>147</v>
      </c>
      <c r="C17" s="121"/>
      <c r="D17" s="121"/>
      <c r="E17" s="122" t="s">
        <v>139</v>
      </c>
    </row>
    <row r="18" s="106" customFormat="true" ht="15.75" hidden="false" customHeight="true" outlineLevel="0" collapsed="false">
      <c r="A18" s="123" t="s">
        <v>90</v>
      </c>
      <c r="B18" s="124" t="s">
        <v>148</v>
      </c>
      <c r="C18" s="117"/>
      <c r="D18" s="117"/>
      <c r="E18" s="125" t="n">
        <f aca="false">C13</f>
        <v>1974.3</v>
      </c>
    </row>
    <row r="19" s="106" customFormat="true" ht="15.75" hidden="false" customHeight="true" outlineLevel="0" collapsed="false">
      <c r="A19" s="123" t="s">
        <v>92</v>
      </c>
      <c r="B19" s="124" t="s">
        <v>149</v>
      </c>
      <c r="C19" s="126" t="s">
        <v>150</v>
      </c>
      <c r="D19" s="126"/>
      <c r="E19" s="125"/>
    </row>
    <row r="20" s="106" customFormat="true" ht="15.75" hidden="false" customHeight="true" outlineLevel="0" collapsed="false">
      <c r="A20" s="123" t="s">
        <v>131</v>
      </c>
      <c r="B20" s="124" t="s">
        <v>151</v>
      </c>
      <c r="C20" s="127" t="s">
        <v>152</v>
      </c>
      <c r="D20" s="127"/>
      <c r="E20" s="84" t="n">
        <f aca="false">40%*1621</f>
        <v>648.4</v>
      </c>
    </row>
    <row r="21" s="106" customFormat="true" ht="15.75" hidden="false" customHeight="true" outlineLevel="0" collapsed="false">
      <c r="A21" s="123" t="s">
        <v>153</v>
      </c>
      <c r="B21" s="124" t="s">
        <v>154</v>
      </c>
      <c r="C21" s="126" t="s">
        <v>155</v>
      </c>
      <c r="D21" s="126"/>
      <c r="E21" s="125"/>
    </row>
    <row r="22" s="120" customFormat="true" ht="15.75" hidden="false" customHeight="true" outlineLevel="0" collapsed="false">
      <c r="A22" s="123" t="s">
        <v>94</v>
      </c>
      <c r="B22" s="124" t="s">
        <v>156</v>
      </c>
      <c r="C22" s="126" t="s">
        <v>157</v>
      </c>
      <c r="D22" s="126"/>
      <c r="E22" s="125"/>
    </row>
    <row r="23" s="120" customFormat="true" ht="15.75" hidden="false" customHeight="false" outlineLevel="0" collapsed="false">
      <c r="A23" s="123" t="s">
        <v>158</v>
      </c>
      <c r="B23" s="124" t="s">
        <v>159</v>
      </c>
      <c r="C23" s="128"/>
      <c r="D23" s="128"/>
      <c r="E23" s="125"/>
    </row>
    <row r="24" s="106" customFormat="true" ht="15.75" hidden="false" customHeight="true" outlineLevel="0" collapsed="false">
      <c r="A24" s="123" t="s">
        <v>160</v>
      </c>
      <c r="B24" s="129" t="s">
        <v>161</v>
      </c>
      <c r="C24" s="128"/>
      <c r="D24" s="128"/>
      <c r="E24" s="125"/>
    </row>
    <row r="25" s="106" customFormat="true" ht="15.75" hidden="false" customHeight="true" outlineLevel="0" collapsed="false">
      <c r="A25" s="130" t="s">
        <v>162</v>
      </c>
      <c r="B25" s="130"/>
      <c r="C25" s="130"/>
      <c r="D25" s="130"/>
      <c r="E25" s="131" t="n">
        <f aca="false">SUM(E18:E24)</f>
        <v>2622.7</v>
      </c>
    </row>
    <row r="26" s="106" customFormat="true" ht="15.75" hidden="false" customHeight="false" outlineLevel="0" collapsed="false">
      <c r="A26" s="119" t="s">
        <v>163</v>
      </c>
      <c r="B26" s="119"/>
      <c r="C26" s="119"/>
      <c r="D26" s="119"/>
      <c r="E26" s="119"/>
    </row>
    <row r="27" customFormat="false" ht="30" hidden="false" customHeight="true" outlineLevel="0" collapsed="false">
      <c r="A27" s="132" t="n">
        <v>2</v>
      </c>
      <c r="B27" s="133" t="s">
        <v>164</v>
      </c>
      <c r="C27" s="134" t="s">
        <v>165</v>
      </c>
      <c r="D27" s="135"/>
      <c r="E27" s="136" t="s">
        <v>139</v>
      </c>
    </row>
    <row r="28" customFormat="false" ht="15.75" hidden="false" customHeight="false" outlineLevel="0" collapsed="false">
      <c r="A28" s="137" t="s">
        <v>90</v>
      </c>
      <c r="B28" s="138" t="s">
        <v>166</v>
      </c>
      <c r="C28" s="139" t="n">
        <f aca="false">E25</f>
        <v>2622.7</v>
      </c>
      <c r="D28" s="140" t="n">
        <f aca="false">1/12</f>
        <v>0.0833333333333333</v>
      </c>
      <c r="E28" s="84" t="n">
        <f aca="false">(E25)*D28</f>
        <v>218.558333333333</v>
      </c>
    </row>
    <row r="29" customFormat="false" ht="15.75" hidden="false" customHeight="false" outlineLevel="0" collapsed="false">
      <c r="A29" s="137" t="s">
        <v>92</v>
      </c>
      <c r="B29" s="141" t="s">
        <v>167</v>
      </c>
      <c r="C29" s="139" t="n">
        <f aca="false">E25</f>
        <v>2622.7</v>
      </c>
      <c r="D29" s="140" t="n">
        <v>0.1111</v>
      </c>
      <c r="E29" s="84" t="n">
        <f aca="false">(E25)*D29</f>
        <v>291.38197</v>
      </c>
    </row>
    <row r="30" customFormat="false" ht="15.75" hidden="false" customHeight="true" outlineLevel="0" collapsed="false">
      <c r="A30" s="142" t="s">
        <v>168</v>
      </c>
      <c r="B30" s="142"/>
      <c r="C30" s="142"/>
      <c r="D30" s="143" t="n">
        <f aca="false">SUM(D28:D29)</f>
        <v>0.194433333333333</v>
      </c>
      <c r="E30" s="144" t="n">
        <f aca="false">SUM(E28:E29)</f>
        <v>509.940303333333</v>
      </c>
    </row>
    <row r="31" customFormat="false" ht="30" hidden="false" customHeight="true" outlineLevel="0" collapsed="false">
      <c r="A31" s="145" t="s">
        <v>169</v>
      </c>
      <c r="B31" s="145"/>
      <c r="C31" s="145"/>
      <c r="D31" s="145"/>
      <c r="E31" s="145"/>
    </row>
    <row r="32" customFormat="false" ht="30" hidden="false" customHeight="true" outlineLevel="0" collapsed="false">
      <c r="A32" s="146" t="s">
        <v>170</v>
      </c>
      <c r="B32" s="147" t="s">
        <v>171</v>
      </c>
      <c r="C32" s="148" t="s">
        <v>165</v>
      </c>
      <c r="D32" s="149"/>
      <c r="E32" s="150" t="s">
        <v>139</v>
      </c>
    </row>
    <row r="33" customFormat="false" ht="15" hidden="false" customHeight="true" outlineLevel="0" collapsed="false">
      <c r="A33" s="137" t="s">
        <v>90</v>
      </c>
      <c r="B33" s="151" t="s">
        <v>172</v>
      </c>
      <c r="C33" s="139" t="n">
        <f aca="false">E$25+E$30</f>
        <v>3132.64030333333</v>
      </c>
      <c r="D33" s="140" t="n">
        <v>0.2</v>
      </c>
      <c r="E33" s="84" t="n">
        <f aca="false">C33*D33</f>
        <v>626.528060666667</v>
      </c>
    </row>
    <row r="34" customFormat="false" ht="15.75" hidden="false" customHeight="false" outlineLevel="0" collapsed="false">
      <c r="A34" s="137" t="s">
        <v>92</v>
      </c>
      <c r="B34" s="151" t="s">
        <v>173</v>
      </c>
      <c r="C34" s="139" t="n">
        <f aca="false">E$25+E$30</f>
        <v>3132.64030333333</v>
      </c>
      <c r="D34" s="152" t="n">
        <v>0.025</v>
      </c>
      <c r="E34" s="84" t="n">
        <f aca="false">C34*D34</f>
        <v>78.3160075833333</v>
      </c>
    </row>
    <row r="35" customFormat="false" ht="35.05" hidden="false" customHeight="false" outlineLevel="0" collapsed="false">
      <c r="A35" s="137" t="s">
        <v>131</v>
      </c>
      <c r="B35" s="153" t="s">
        <v>174</v>
      </c>
      <c r="C35" s="139" t="n">
        <f aca="false">E$25+E$30</f>
        <v>3132.64030333333</v>
      </c>
      <c r="D35" s="152" t="n">
        <v>0.03</v>
      </c>
      <c r="E35" s="84" t="n">
        <f aca="false">C35*D35</f>
        <v>93.9792091</v>
      </c>
    </row>
    <row r="36" customFormat="false" ht="15.75" hidden="false" customHeight="false" outlineLevel="0" collapsed="false">
      <c r="A36" s="137" t="s">
        <v>153</v>
      </c>
      <c r="B36" s="151" t="s">
        <v>175</v>
      </c>
      <c r="C36" s="139" t="n">
        <f aca="false">E$25+E$30</f>
        <v>3132.64030333333</v>
      </c>
      <c r="D36" s="152" t="n">
        <v>0.015</v>
      </c>
      <c r="E36" s="84" t="n">
        <f aca="false">C36*D36</f>
        <v>46.98960455</v>
      </c>
    </row>
    <row r="37" customFormat="false" ht="15.75" hidden="false" customHeight="false" outlineLevel="0" collapsed="false">
      <c r="A37" s="137" t="s">
        <v>94</v>
      </c>
      <c r="B37" s="151" t="s">
        <v>176</v>
      </c>
      <c r="C37" s="139" t="n">
        <f aca="false">E$25+E$30</f>
        <v>3132.64030333333</v>
      </c>
      <c r="D37" s="152" t="n">
        <v>0.01</v>
      </c>
      <c r="E37" s="84" t="n">
        <f aca="false">C37*D37</f>
        <v>31.3264030333333</v>
      </c>
    </row>
    <row r="38" s="155" customFormat="true" ht="15.75" hidden="false" customHeight="false" outlineLevel="0" collapsed="false">
      <c r="A38" s="137" t="s">
        <v>158</v>
      </c>
      <c r="B38" s="154" t="s">
        <v>177</v>
      </c>
      <c r="C38" s="139" t="n">
        <f aca="false">E$25+E$30</f>
        <v>3132.64030333333</v>
      </c>
      <c r="D38" s="152" t="n">
        <v>0.006</v>
      </c>
      <c r="E38" s="84" t="n">
        <f aca="false">C38*D38</f>
        <v>18.79584182</v>
      </c>
    </row>
    <row r="39" s="155" customFormat="true" ht="23.85" hidden="false" customHeight="false" outlineLevel="0" collapsed="false">
      <c r="A39" s="137" t="s">
        <v>160</v>
      </c>
      <c r="B39" s="153" t="s">
        <v>178</v>
      </c>
      <c r="C39" s="139" t="n">
        <f aca="false">E$25+E$30</f>
        <v>3132.64030333333</v>
      </c>
      <c r="D39" s="152" t="n">
        <v>0.002</v>
      </c>
      <c r="E39" s="84" t="n">
        <f aca="false">C39*D39</f>
        <v>6.26528060666667</v>
      </c>
    </row>
    <row r="40" s="155" customFormat="true" ht="15.75" hidden="false" customHeight="false" outlineLevel="0" collapsed="false">
      <c r="A40" s="137" t="s">
        <v>179</v>
      </c>
      <c r="B40" s="151" t="s">
        <v>180</v>
      </c>
      <c r="C40" s="139" t="n">
        <f aca="false">E$25+E$30</f>
        <v>3132.64030333333</v>
      </c>
      <c r="D40" s="152" t="n">
        <v>0.08</v>
      </c>
      <c r="E40" s="84" t="n">
        <f aca="false">C40*D40</f>
        <v>250.611224266667</v>
      </c>
    </row>
    <row r="41" s="155" customFormat="true" ht="15.75" hidden="false" customHeight="true" outlineLevel="0" collapsed="false">
      <c r="A41" s="142" t="s">
        <v>168</v>
      </c>
      <c r="B41" s="142"/>
      <c r="C41" s="142"/>
      <c r="D41" s="156" t="n">
        <f aca="false">SUM(D33:D40)</f>
        <v>0.368</v>
      </c>
      <c r="E41" s="144" t="n">
        <f aca="false">SUM(E33:E40)</f>
        <v>1152.81163162667</v>
      </c>
    </row>
    <row r="42" s="155" customFormat="true" ht="15.75" hidden="false" customHeight="false" outlineLevel="0" collapsed="false">
      <c r="A42" s="157" t="s">
        <v>181</v>
      </c>
      <c r="B42" s="157"/>
      <c r="C42" s="157"/>
      <c r="D42" s="157"/>
      <c r="E42" s="157"/>
    </row>
    <row r="43" s="155" customFormat="true" ht="30" hidden="false" customHeight="true" outlineLevel="0" collapsed="false">
      <c r="A43" s="158" t="s">
        <v>182</v>
      </c>
      <c r="B43" s="159" t="s">
        <v>183</v>
      </c>
      <c r="C43" s="134" t="s">
        <v>165</v>
      </c>
      <c r="D43" s="135"/>
      <c r="E43" s="136" t="s">
        <v>139</v>
      </c>
    </row>
    <row r="44" s="155" customFormat="true" ht="15.75" hidden="false" customHeight="false" outlineLevel="0" collapsed="false">
      <c r="A44" s="160" t="s">
        <v>90</v>
      </c>
      <c r="B44" s="161" t="s">
        <v>184</v>
      </c>
      <c r="C44" s="162"/>
      <c r="D44" s="161"/>
      <c r="E44" s="163" t="n">
        <v>139.72</v>
      </c>
    </row>
    <row r="45" s="155" customFormat="true" ht="15.75" hidden="false" customHeight="false" outlineLevel="0" collapsed="false">
      <c r="A45" s="164" t="s">
        <v>92</v>
      </c>
      <c r="B45" s="129" t="s">
        <v>185</v>
      </c>
      <c r="C45" s="165" t="n">
        <v>626.94</v>
      </c>
      <c r="D45" s="128"/>
      <c r="E45" s="125" t="n">
        <f aca="false">C45-(C45*0.99%)</f>
        <v>620.733294</v>
      </c>
    </row>
    <row r="46" s="155" customFormat="true" ht="15.75" hidden="false" customHeight="false" outlineLevel="0" collapsed="false">
      <c r="A46" s="137" t="s">
        <v>131</v>
      </c>
      <c r="B46" s="138" t="s">
        <v>186</v>
      </c>
      <c r="C46" s="166"/>
      <c r="D46" s="167"/>
      <c r="E46" s="84" t="n">
        <v>0</v>
      </c>
    </row>
    <row r="47" s="155" customFormat="true" ht="23.85" hidden="false" customHeight="false" outlineLevel="0" collapsed="false">
      <c r="A47" s="137" t="s">
        <v>153</v>
      </c>
      <c r="B47" s="138" t="s">
        <v>187</v>
      </c>
      <c r="C47" s="166" t="s">
        <v>188</v>
      </c>
      <c r="D47" s="167"/>
      <c r="E47" s="84" t="n">
        <f aca="false">C13*50%*0.0199*2/12</f>
        <v>3.2740475</v>
      </c>
    </row>
    <row r="48" s="155" customFormat="true" ht="15.75" hidden="false" customHeight="false" outlineLevel="0" collapsed="false">
      <c r="A48" s="137" t="s">
        <v>94</v>
      </c>
      <c r="B48" s="168" t="s">
        <v>189</v>
      </c>
      <c r="C48" s="169"/>
      <c r="D48" s="170"/>
      <c r="E48" s="171" t="n">
        <v>5.82</v>
      </c>
    </row>
    <row r="49" s="155" customFormat="true" ht="15.75" hidden="false" customHeight="true" outlineLevel="0" collapsed="false">
      <c r="A49" s="142" t="s">
        <v>190</v>
      </c>
      <c r="B49" s="142"/>
      <c r="C49" s="142"/>
      <c r="D49" s="142"/>
      <c r="E49" s="144" t="n">
        <f aca="false">SUM(E44:E48)</f>
        <v>769.5473415</v>
      </c>
    </row>
    <row r="50" s="155" customFormat="true" ht="15.75" hidden="false" customHeight="true" outlineLevel="0" collapsed="false">
      <c r="A50" s="157" t="s">
        <v>191</v>
      </c>
      <c r="B50" s="157"/>
      <c r="C50" s="157"/>
      <c r="D50" s="157"/>
      <c r="E50" s="157"/>
    </row>
    <row r="51" s="155" customFormat="true" ht="15.75" hidden="false" customHeight="true" outlineLevel="0" collapsed="false">
      <c r="A51" s="112" t="s">
        <v>170</v>
      </c>
      <c r="B51" s="172" t="s">
        <v>192</v>
      </c>
      <c r="C51" s="173"/>
      <c r="D51" s="173"/>
      <c r="E51" s="174" t="n">
        <f aca="false">E30</f>
        <v>509.940303333333</v>
      </c>
    </row>
    <row r="52" s="155" customFormat="true" ht="15.75" hidden="false" customHeight="true" outlineLevel="0" collapsed="false">
      <c r="A52" s="112" t="s">
        <v>193</v>
      </c>
      <c r="B52" s="172" t="s">
        <v>194</v>
      </c>
      <c r="C52" s="173"/>
      <c r="D52" s="173"/>
      <c r="E52" s="174" t="n">
        <f aca="false">E41</f>
        <v>1152.81163162667</v>
      </c>
    </row>
    <row r="53" s="155" customFormat="true" ht="15.75" hidden="false" customHeight="true" outlineLevel="0" collapsed="false">
      <c r="A53" s="112" t="s">
        <v>182</v>
      </c>
      <c r="B53" s="172" t="s">
        <v>195</v>
      </c>
      <c r="C53" s="173"/>
      <c r="D53" s="173"/>
      <c r="E53" s="174" t="n">
        <f aca="false">E49</f>
        <v>769.5473415</v>
      </c>
    </row>
    <row r="54" s="155" customFormat="true" ht="15.75" hidden="false" customHeight="true" outlineLevel="0" collapsed="false">
      <c r="A54" s="130" t="s">
        <v>196</v>
      </c>
      <c r="B54" s="130"/>
      <c r="C54" s="130"/>
      <c r="D54" s="130"/>
      <c r="E54" s="131" t="n">
        <f aca="false">SUM(E51:E53)</f>
        <v>2432.29927646</v>
      </c>
    </row>
    <row r="55" s="155" customFormat="true" ht="15.75" hidden="false" customHeight="true" outlineLevel="0" collapsed="false">
      <c r="A55" s="119" t="s">
        <v>197</v>
      </c>
      <c r="B55" s="119"/>
      <c r="C55" s="119"/>
      <c r="D55" s="119"/>
      <c r="E55" s="119"/>
    </row>
    <row r="56" s="155" customFormat="true" ht="30" hidden="false" customHeight="true" outlineLevel="0" collapsed="false">
      <c r="A56" s="146" t="s">
        <v>198</v>
      </c>
      <c r="B56" s="147" t="s">
        <v>199</v>
      </c>
      <c r="C56" s="175" t="s">
        <v>165</v>
      </c>
      <c r="D56" s="63"/>
      <c r="E56" s="150" t="s">
        <v>139</v>
      </c>
    </row>
    <row r="57" s="155" customFormat="true" ht="15.75" hidden="false" customHeight="true" outlineLevel="0" collapsed="false">
      <c r="A57" s="137" t="s">
        <v>90</v>
      </c>
      <c r="B57" s="138" t="s">
        <v>200</v>
      </c>
      <c r="C57" s="176" t="n">
        <f aca="false">E$25+E$30</f>
        <v>3132.64030333333</v>
      </c>
      <c r="D57" s="140" t="n">
        <v>0.0046</v>
      </c>
      <c r="E57" s="84" t="n">
        <f aca="false">C57*D57</f>
        <v>14.4101453953333</v>
      </c>
    </row>
    <row r="58" s="155" customFormat="true" ht="15.75" hidden="false" customHeight="true" outlineLevel="0" collapsed="false">
      <c r="A58" s="137" t="s">
        <v>92</v>
      </c>
      <c r="B58" s="138" t="s">
        <v>201</v>
      </c>
      <c r="C58" s="176" t="n">
        <f aca="false">E$25+E$30</f>
        <v>3132.64030333333</v>
      </c>
      <c r="D58" s="140" t="n">
        <v>0.0004</v>
      </c>
      <c r="E58" s="84" t="n">
        <f aca="false">C58*D58</f>
        <v>1.25305612133333</v>
      </c>
    </row>
    <row r="59" s="155" customFormat="true" ht="15.75" hidden="false" customHeight="true" outlineLevel="0" collapsed="false">
      <c r="A59" s="137" t="s">
        <v>131</v>
      </c>
      <c r="B59" s="138" t="s">
        <v>202</v>
      </c>
      <c r="C59" s="176" t="n">
        <f aca="false">E$25+E$30</f>
        <v>3132.64030333333</v>
      </c>
      <c r="D59" s="140" t="n">
        <v>0.0194</v>
      </c>
      <c r="E59" s="84" t="n">
        <f aca="false">C59*D59</f>
        <v>60.7732218846667</v>
      </c>
    </row>
    <row r="60" s="155" customFormat="true" ht="30" hidden="false" customHeight="true" outlineLevel="0" collapsed="false">
      <c r="A60" s="137" t="s">
        <v>153</v>
      </c>
      <c r="B60" s="149" t="s">
        <v>203</v>
      </c>
      <c r="C60" s="176" t="n">
        <f aca="false">E$25+E$30</f>
        <v>3132.64030333333</v>
      </c>
      <c r="D60" s="177" t="n">
        <f aca="false">D41*D59</f>
        <v>0.0071392</v>
      </c>
      <c r="E60" s="84" t="n">
        <f aca="false">C60*D60</f>
        <v>22.3645456535573</v>
      </c>
    </row>
    <row r="61" s="155" customFormat="true" ht="32.25" hidden="false" customHeight="true" outlineLevel="0" collapsed="false">
      <c r="A61" s="137" t="s">
        <v>94</v>
      </c>
      <c r="B61" s="138" t="s">
        <v>204</v>
      </c>
      <c r="C61" s="176" t="n">
        <f aca="false">E$25+E$30</f>
        <v>3132.64030333333</v>
      </c>
      <c r="D61" s="140" t="n">
        <v>0.04</v>
      </c>
      <c r="E61" s="84" t="n">
        <f aca="false">C61*D61</f>
        <v>125.305612133333</v>
      </c>
    </row>
    <row r="62" s="155" customFormat="true" ht="15.75" hidden="false" customHeight="true" outlineLevel="0" collapsed="false">
      <c r="A62" s="130" t="s">
        <v>205</v>
      </c>
      <c r="B62" s="130"/>
      <c r="C62" s="130"/>
      <c r="D62" s="178" t="n">
        <f aca="false">SUM(D57:D61)</f>
        <v>0.0715392</v>
      </c>
      <c r="E62" s="131" t="n">
        <f aca="false">SUM(E57:E61)</f>
        <v>224.106581188224</v>
      </c>
    </row>
    <row r="63" s="155" customFormat="true" ht="15.75" hidden="false" customHeight="true" outlineLevel="0" collapsed="false">
      <c r="A63" s="119" t="s">
        <v>206</v>
      </c>
      <c r="B63" s="119"/>
      <c r="C63" s="119"/>
      <c r="D63" s="119"/>
      <c r="E63" s="119"/>
    </row>
    <row r="64" s="155" customFormat="true" ht="30" hidden="false" customHeight="true" outlineLevel="0" collapsed="false">
      <c r="A64" s="146" t="s">
        <v>207</v>
      </c>
      <c r="B64" s="179" t="s">
        <v>208</v>
      </c>
      <c r="C64" s="175" t="s">
        <v>165</v>
      </c>
      <c r="D64" s="180"/>
      <c r="E64" s="150" t="s">
        <v>139</v>
      </c>
    </row>
    <row r="65" s="155" customFormat="true" ht="15.75" hidden="false" customHeight="false" outlineLevel="0" collapsed="false">
      <c r="A65" s="137" t="s">
        <v>90</v>
      </c>
      <c r="B65" s="138" t="s">
        <v>209</v>
      </c>
      <c r="C65" s="181" t="n">
        <f aca="false">E$25+E$54+E$62+E85</f>
        <v>5317.73085764822</v>
      </c>
      <c r="D65" s="140" t="n">
        <f aca="false">D29/12</f>
        <v>0.00925833333333333</v>
      </c>
      <c r="E65" s="84" t="n">
        <f aca="false">C65*D65</f>
        <v>49.2333248570598</v>
      </c>
    </row>
    <row r="66" s="155" customFormat="true" ht="15.75" hidden="false" customHeight="false" outlineLevel="0" collapsed="false">
      <c r="A66" s="137" t="s">
        <v>92</v>
      </c>
      <c r="B66" s="138" t="s">
        <v>210</v>
      </c>
      <c r="C66" s="181" t="n">
        <f aca="false">E$25+E$54+E$62+E85</f>
        <v>5317.73085764822</v>
      </c>
      <c r="D66" s="140" t="n">
        <v>0.0139</v>
      </c>
      <c r="E66" s="84" t="n">
        <f aca="false">C66*D66</f>
        <v>73.9164589213103</v>
      </c>
    </row>
    <row r="67" s="155" customFormat="true" ht="15.75" hidden="false" customHeight="false" outlineLevel="0" collapsed="false">
      <c r="A67" s="137" t="s">
        <v>131</v>
      </c>
      <c r="B67" s="138" t="s">
        <v>211</v>
      </c>
      <c r="C67" s="181" t="n">
        <f aca="false">E$25+E$54+E$62+E85</f>
        <v>5317.73085764822</v>
      </c>
      <c r="D67" s="140" t="n">
        <v>0.0013</v>
      </c>
      <c r="E67" s="84" t="n">
        <f aca="false">C67*D67</f>
        <v>6.91305011494269</v>
      </c>
    </row>
    <row r="68" s="155" customFormat="true" ht="15.75" hidden="false" customHeight="false" outlineLevel="0" collapsed="false">
      <c r="A68" s="137" t="s">
        <v>153</v>
      </c>
      <c r="B68" s="138" t="s">
        <v>212</v>
      </c>
      <c r="C68" s="181" t="n">
        <f aca="false">E$25+E$54+E$62+E85</f>
        <v>5317.73085764822</v>
      </c>
      <c r="D68" s="140" t="n">
        <v>0.0002</v>
      </c>
      <c r="E68" s="84" t="n">
        <f aca="false">C68*D68</f>
        <v>1.06354617152964</v>
      </c>
    </row>
    <row r="69" s="155" customFormat="true" ht="15.75" hidden="false" customHeight="false" outlineLevel="0" collapsed="false">
      <c r="A69" s="137" t="s">
        <v>94</v>
      </c>
      <c r="B69" s="138" t="s">
        <v>213</v>
      </c>
      <c r="C69" s="181" t="n">
        <f aca="false">E$25+E$54+E$62+E85</f>
        <v>5317.73085764822</v>
      </c>
      <c r="D69" s="140" t="n">
        <v>0.0028</v>
      </c>
      <c r="E69" s="84" t="n">
        <f aca="false">C69*D69</f>
        <v>14.889646401415</v>
      </c>
    </row>
    <row r="70" s="155" customFormat="true" ht="15.75" hidden="false" customHeight="false" outlineLevel="0" collapsed="false">
      <c r="A70" s="137" t="s">
        <v>158</v>
      </c>
      <c r="B70" s="138" t="s">
        <v>214</v>
      </c>
      <c r="C70" s="181" t="n">
        <f aca="false">E$25+E$54+E$62+E85</f>
        <v>5317.73085764822</v>
      </c>
      <c r="D70" s="140" t="n">
        <v>0.0003</v>
      </c>
      <c r="E70" s="84" t="n">
        <f aca="false">C70*D70</f>
        <v>1.59531925729447</v>
      </c>
    </row>
    <row r="71" s="155" customFormat="true" ht="15.75" hidden="false" customHeight="false" outlineLevel="0" collapsed="false">
      <c r="A71" s="137" t="s">
        <v>160</v>
      </c>
      <c r="B71" s="182" t="s">
        <v>215</v>
      </c>
      <c r="C71" s="181" t="n">
        <f aca="false">E$25+E$54+E$62+E85</f>
        <v>5317.73085764822</v>
      </c>
      <c r="D71" s="140" t="n">
        <v>0</v>
      </c>
      <c r="E71" s="84" t="n">
        <f aca="false">C71*D71</f>
        <v>0</v>
      </c>
    </row>
    <row r="72" s="155" customFormat="true" ht="15.75" hidden="false" customHeight="true" outlineLevel="0" collapsed="false">
      <c r="A72" s="142" t="s">
        <v>216</v>
      </c>
      <c r="B72" s="142"/>
      <c r="C72" s="142"/>
      <c r="D72" s="183" t="n">
        <f aca="false">SUM(D65:D71)</f>
        <v>0.0277583333333333</v>
      </c>
      <c r="E72" s="144" t="n">
        <f aca="false">SUM(E65:E71)</f>
        <v>147.611345723552</v>
      </c>
    </row>
    <row r="73" s="155" customFormat="true" ht="15.75" hidden="false" customHeight="true" outlineLevel="0" collapsed="false">
      <c r="A73" s="157" t="s">
        <v>217</v>
      </c>
      <c r="B73" s="157"/>
      <c r="C73" s="157"/>
      <c r="D73" s="157"/>
      <c r="E73" s="157"/>
    </row>
    <row r="74" s="155" customFormat="true" ht="15.75" hidden="false" customHeight="false" outlineLevel="0" collapsed="false">
      <c r="A74" s="146"/>
      <c r="B74" s="147" t="s">
        <v>217</v>
      </c>
      <c r="C74" s="149"/>
      <c r="D74" s="149"/>
      <c r="E74" s="150" t="s">
        <v>139</v>
      </c>
    </row>
    <row r="75" s="155" customFormat="true" ht="15.75" hidden="false" customHeight="true" outlineLevel="0" collapsed="false">
      <c r="A75" s="137" t="s">
        <v>90</v>
      </c>
      <c r="B75" s="138" t="s">
        <v>218</v>
      </c>
      <c r="C75" s="166"/>
      <c r="D75" s="140" t="n">
        <v>0</v>
      </c>
      <c r="E75" s="84" t="n">
        <f aca="false">(E$25+E$54+E$62+E85)*D75</f>
        <v>0</v>
      </c>
    </row>
    <row r="76" s="155" customFormat="true" ht="15.75" hidden="false" customHeight="true" outlineLevel="0" collapsed="false">
      <c r="A76" s="142" t="s">
        <v>219</v>
      </c>
      <c r="B76" s="142"/>
      <c r="C76" s="142"/>
      <c r="D76" s="143" t="n">
        <f aca="false">SUM(D75)</f>
        <v>0</v>
      </c>
      <c r="E76" s="144" t="n">
        <f aca="false">SUM(E75)</f>
        <v>0</v>
      </c>
    </row>
    <row r="77" s="155" customFormat="true" ht="15.75" hidden="false" customHeight="true" outlineLevel="0" collapsed="false">
      <c r="A77" s="184" t="s">
        <v>220</v>
      </c>
      <c r="B77" s="184"/>
      <c r="C77" s="184"/>
      <c r="D77" s="184"/>
      <c r="E77" s="184"/>
    </row>
    <row r="78" s="155" customFormat="true" ht="15.75" hidden="false" customHeight="true" outlineLevel="0" collapsed="false">
      <c r="A78" s="146" t="n">
        <v>4</v>
      </c>
      <c r="B78" s="185" t="s">
        <v>221</v>
      </c>
      <c r="C78" s="186"/>
      <c r="D78" s="187"/>
      <c r="E78" s="150" t="s">
        <v>139</v>
      </c>
    </row>
    <row r="79" s="155" customFormat="true" ht="15.75" hidden="false" customHeight="true" outlineLevel="0" collapsed="false">
      <c r="A79" s="137" t="s">
        <v>207</v>
      </c>
      <c r="B79" s="138" t="s">
        <v>208</v>
      </c>
      <c r="C79" s="186"/>
      <c r="D79" s="140" t="n">
        <f aca="false">D72</f>
        <v>0.0277583333333333</v>
      </c>
      <c r="E79" s="84" t="n">
        <f aca="false">E72</f>
        <v>147.611345723552</v>
      </c>
    </row>
    <row r="80" s="155" customFormat="true" ht="15.75" hidden="false" customHeight="true" outlineLevel="0" collapsed="false">
      <c r="A80" s="137" t="s">
        <v>222</v>
      </c>
      <c r="B80" s="138" t="s">
        <v>217</v>
      </c>
      <c r="C80" s="186"/>
      <c r="D80" s="140" t="n">
        <v>0</v>
      </c>
      <c r="E80" s="84" t="n">
        <f aca="false">(D$25+D$53+D$61)*D80</f>
        <v>0</v>
      </c>
    </row>
    <row r="81" s="155" customFormat="true" ht="15.75" hidden="false" customHeight="true" outlineLevel="0" collapsed="false">
      <c r="A81" s="142" t="s">
        <v>168</v>
      </c>
      <c r="B81" s="142"/>
      <c r="C81" s="142"/>
      <c r="D81" s="143" t="n">
        <f aca="false">SUM(D79:D80)</f>
        <v>0.0277583333333333</v>
      </c>
      <c r="E81" s="144" t="n">
        <f aca="false">SUM(E79:E80)</f>
        <v>147.611345723552</v>
      </c>
    </row>
    <row r="82" s="155" customFormat="true" ht="15.75" hidden="false" customHeight="true" outlineLevel="0" collapsed="false">
      <c r="A82" s="130" t="s">
        <v>223</v>
      </c>
      <c r="B82" s="130"/>
      <c r="C82" s="130"/>
      <c r="D82" s="130"/>
      <c r="E82" s="131" t="n">
        <f aca="false">SUM(E72+E76)</f>
        <v>147.611345723552</v>
      </c>
    </row>
    <row r="83" s="155" customFormat="true" ht="15.75" hidden="false" customHeight="true" outlineLevel="0" collapsed="false">
      <c r="A83" s="119" t="s">
        <v>224</v>
      </c>
      <c r="B83" s="119"/>
      <c r="C83" s="119"/>
      <c r="D83" s="119"/>
      <c r="E83" s="119"/>
    </row>
    <row r="84" s="155" customFormat="true" ht="15.75" hidden="false" customHeight="true" outlineLevel="0" collapsed="false">
      <c r="A84" s="146" t="n">
        <v>5</v>
      </c>
      <c r="B84" s="147" t="s">
        <v>225</v>
      </c>
      <c r="C84" s="149"/>
      <c r="D84" s="149"/>
      <c r="E84" s="150" t="s">
        <v>139</v>
      </c>
    </row>
    <row r="85" s="155" customFormat="true" ht="15.75" hidden="false" customHeight="true" outlineLevel="0" collapsed="false">
      <c r="A85" s="164" t="s">
        <v>90</v>
      </c>
      <c r="B85" s="129" t="s">
        <v>226</v>
      </c>
      <c r="C85" s="188"/>
      <c r="D85" s="189"/>
      <c r="E85" s="84" t="n">
        <f aca="false">'EPI''s e Uniformes'!H7</f>
        <v>38.625</v>
      </c>
    </row>
    <row r="86" s="155" customFormat="true" ht="15.75" hidden="false" customHeight="true" outlineLevel="0" collapsed="false">
      <c r="A86" s="164" t="s">
        <v>92</v>
      </c>
      <c r="B86" s="129" t="s">
        <v>227</v>
      </c>
      <c r="C86" s="188"/>
      <c r="D86" s="189"/>
      <c r="E86" s="84" t="n">
        <f aca="false">Materiais!H14</f>
        <v>263.08125</v>
      </c>
    </row>
    <row r="87" s="155" customFormat="true" ht="15.75" hidden="false" customHeight="true" outlineLevel="0" collapsed="false">
      <c r="A87" s="164" t="s">
        <v>131</v>
      </c>
      <c r="B87" s="129" t="s">
        <v>228</v>
      </c>
      <c r="C87" s="188"/>
      <c r="D87" s="189"/>
      <c r="E87" s="84" t="n">
        <f aca="false">'Materiais Permanentes'!H13</f>
        <v>857.6240625</v>
      </c>
    </row>
    <row r="88" s="155" customFormat="true" ht="15.75" hidden="false" customHeight="true" outlineLevel="0" collapsed="false">
      <c r="A88" s="164" t="s">
        <v>153</v>
      </c>
      <c r="B88" s="129" t="s">
        <v>229</v>
      </c>
      <c r="C88" s="188"/>
      <c r="D88" s="189"/>
      <c r="E88" s="84" t="n">
        <v>0</v>
      </c>
    </row>
    <row r="89" s="155" customFormat="true" ht="15.75" hidden="false" customHeight="true" outlineLevel="0" collapsed="false">
      <c r="A89" s="130" t="s">
        <v>230</v>
      </c>
      <c r="B89" s="130"/>
      <c r="C89" s="130"/>
      <c r="D89" s="130"/>
      <c r="E89" s="131" t="n">
        <f aca="false">SUM(E85:E88)</f>
        <v>1159.3303125</v>
      </c>
    </row>
    <row r="90" s="155" customFormat="true" ht="23.25" hidden="false" customHeight="true" outlineLevel="0" collapsed="false">
      <c r="A90" s="132" t="s">
        <v>231</v>
      </c>
      <c r="B90" s="132"/>
      <c r="C90" s="132"/>
      <c r="D90" s="132"/>
      <c r="E90" s="190" t="n">
        <f aca="false">E89+E82+E62+E54+E25</f>
        <v>6586.04751587178</v>
      </c>
    </row>
    <row r="91" s="155" customFormat="true" ht="19.5" hidden="false" customHeight="true" outlineLevel="0" collapsed="false">
      <c r="A91" s="119" t="s">
        <v>232</v>
      </c>
      <c r="B91" s="119"/>
      <c r="C91" s="119"/>
      <c r="D91" s="119"/>
      <c r="E91" s="119"/>
    </row>
    <row r="92" s="155" customFormat="true" ht="30" hidden="false" customHeight="true" outlineLevel="0" collapsed="false">
      <c r="A92" s="146" t="n">
        <v>6</v>
      </c>
      <c r="B92" s="147" t="s">
        <v>233</v>
      </c>
      <c r="C92" s="148" t="s">
        <v>165</v>
      </c>
      <c r="D92" s="148"/>
      <c r="E92" s="150" t="s">
        <v>139</v>
      </c>
    </row>
    <row r="93" s="155" customFormat="true" ht="15.75" hidden="false" customHeight="false" outlineLevel="0" collapsed="false">
      <c r="A93" s="137" t="s">
        <v>90</v>
      </c>
      <c r="B93" s="138" t="s">
        <v>234</v>
      </c>
      <c r="C93" s="191" t="n">
        <f aca="false">E90</f>
        <v>6586.04751587178</v>
      </c>
      <c r="D93" s="140" t="n">
        <v>0.05</v>
      </c>
      <c r="E93" s="84" t="n">
        <f aca="false">+C93*D93</f>
        <v>329.302375793589</v>
      </c>
    </row>
    <row r="94" s="155" customFormat="true" ht="15.75" hidden="false" customHeight="false" outlineLevel="0" collapsed="false">
      <c r="A94" s="137" t="s">
        <v>92</v>
      </c>
      <c r="B94" s="138" t="s">
        <v>235</v>
      </c>
      <c r="C94" s="191" t="n">
        <f aca="false">E90+E93</f>
        <v>6915.34989166536</v>
      </c>
      <c r="D94" s="140" t="n">
        <v>0.1</v>
      </c>
      <c r="E94" s="84" t="n">
        <f aca="false">D94*(C94)</f>
        <v>691.534989166536</v>
      </c>
    </row>
    <row r="95" s="155" customFormat="true" ht="30.75" hidden="false" customHeight="true" outlineLevel="0" collapsed="false">
      <c r="A95" s="137"/>
      <c r="B95" s="138" t="s">
        <v>236</v>
      </c>
      <c r="C95" s="138"/>
      <c r="D95" s="140" t="n">
        <f aca="false">1-D102</f>
        <v>0.8575</v>
      </c>
      <c r="E95" s="84" t="n">
        <f aca="false">+E90+E93+E94</f>
        <v>7606.8848808319</v>
      </c>
    </row>
    <row r="96" s="155" customFormat="true" ht="15.75" hidden="false" customHeight="false" outlineLevel="0" collapsed="false">
      <c r="A96" s="137"/>
      <c r="B96" s="182"/>
      <c r="C96" s="192"/>
      <c r="D96" s="83"/>
      <c r="E96" s="193" t="n">
        <f aca="false">+E95/D95</f>
        <v>8871.00277648035</v>
      </c>
    </row>
    <row r="97" s="155" customFormat="true" ht="15.75" hidden="false" customHeight="false" outlineLevel="0" collapsed="false">
      <c r="A97" s="137" t="s">
        <v>131</v>
      </c>
      <c r="B97" s="182" t="s">
        <v>237</v>
      </c>
      <c r="C97" s="192"/>
      <c r="D97" s="194" t="n">
        <f aca="false">D99+D100+D101</f>
        <v>0.1425</v>
      </c>
      <c r="E97" s="193"/>
    </row>
    <row r="98" s="155" customFormat="true" ht="15.75" hidden="false" customHeight="false" outlineLevel="0" collapsed="false">
      <c r="A98" s="137" t="s">
        <v>238</v>
      </c>
      <c r="B98" s="182" t="s">
        <v>239</v>
      </c>
      <c r="C98" s="182"/>
      <c r="D98" s="194" t="n">
        <f aca="false">D99+D100</f>
        <v>0.0925</v>
      </c>
      <c r="E98" s="84"/>
    </row>
    <row r="99" s="155" customFormat="true" ht="15.75" hidden="false" customHeight="false" outlineLevel="0" collapsed="false">
      <c r="A99" s="137" t="s">
        <v>240</v>
      </c>
      <c r="B99" s="138" t="s">
        <v>241</v>
      </c>
      <c r="C99" s="82" t="n">
        <f aca="false">E96</f>
        <v>8871.00277648035</v>
      </c>
      <c r="D99" s="140" t="n">
        <v>0.0165</v>
      </c>
      <c r="E99" s="84" t="n">
        <f aca="false">C99*D99</f>
        <v>146.371545811926</v>
      </c>
    </row>
    <row r="100" s="155" customFormat="true" ht="15.75" hidden="false" customHeight="false" outlineLevel="0" collapsed="false">
      <c r="A100" s="137" t="s">
        <v>242</v>
      </c>
      <c r="B100" s="138" t="s">
        <v>243</v>
      </c>
      <c r="C100" s="82" t="n">
        <f aca="false">E96</f>
        <v>8871.00277648035</v>
      </c>
      <c r="D100" s="140" t="n">
        <v>0.076</v>
      </c>
      <c r="E100" s="84" t="n">
        <f aca="false">C100*D100</f>
        <v>674.196211012507</v>
      </c>
    </row>
    <row r="101" s="155" customFormat="true" ht="15.75" hidden="false" customHeight="false" outlineLevel="0" collapsed="false">
      <c r="A101" s="137" t="s">
        <v>244</v>
      </c>
      <c r="B101" s="138" t="s">
        <v>245</v>
      </c>
      <c r="C101" s="82" t="n">
        <f aca="false">E96</f>
        <v>8871.00277648035</v>
      </c>
      <c r="D101" s="140" t="n">
        <v>0.05</v>
      </c>
      <c r="E101" s="84" t="n">
        <f aca="false">C101*D101</f>
        <v>443.550138824018</v>
      </c>
    </row>
    <row r="102" s="155" customFormat="true" ht="15.75" hidden="false" customHeight="false" outlineLevel="0" collapsed="false">
      <c r="A102" s="146"/>
      <c r="B102" s="195" t="s">
        <v>246</v>
      </c>
      <c r="C102" s="195"/>
      <c r="D102" s="196" t="n">
        <f aca="false">D97</f>
        <v>0.1425</v>
      </c>
      <c r="E102" s="84" t="n">
        <f aca="false">SUM(E99:E101)</f>
        <v>1264.11789564845</v>
      </c>
    </row>
    <row r="103" s="155" customFormat="true" ht="15.75" hidden="false" customHeight="true" outlineLevel="0" collapsed="false">
      <c r="A103" s="142" t="s">
        <v>247</v>
      </c>
      <c r="B103" s="142"/>
      <c r="C103" s="142"/>
      <c r="D103" s="142"/>
      <c r="E103" s="144" t="n">
        <f aca="false">+E93+E94+E102</f>
        <v>2284.95526060858</v>
      </c>
    </row>
    <row r="104" s="155" customFormat="true" ht="15.75" hidden="false" customHeight="true" outlineLevel="0" collapsed="false">
      <c r="A104" s="197" t="s">
        <v>248</v>
      </c>
      <c r="B104" s="197"/>
      <c r="C104" s="197"/>
      <c r="D104" s="197"/>
      <c r="E104" s="198" t="s">
        <v>139</v>
      </c>
    </row>
    <row r="105" s="155" customFormat="true" ht="15.75" hidden="false" customHeight="true" outlineLevel="0" collapsed="false">
      <c r="A105" s="137" t="s">
        <v>90</v>
      </c>
      <c r="B105" s="182" t="s">
        <v>249</v>
      </c>
      <c r="C105" s="182"/>
      <c r="D105" s="182"/>
      <c r="E105" s="84" t="n">
        <f aca="false">+E25</f>
        <v>2622.7</v>
      </c>
    </row>
    <row r="106" s="155" customFormat="true" ht="15.75" hidden="false" customHeight="true" outlineLevel="0" collapsed="false">
      <c r="A106" s="137" t="s">
        <v>92</v>
      </c>
      <c r="B106" s="182" t="s">
        <v>250</v>
      </c>
      <c r="C106" s="182"/>
      <c r="D106" s="182"/>
      <c r="E106" s="84" t="n">
        <f aca="false">+E54</f>
        <v>2432.29927646</v>
      </c>
    </row>
    <row r="107" s="155" customFormat="true" ht="15.75" hidden="false" customHeight="true" outlineLevel="0" collapsed="false">
      <c r="A107" s="137" t="s">
        <v>131</v>
      </c>
      <c r="B107" s="182" t="s">
        <v>251</v>
      </c>
      <c r="C107" s="182"/>
      <c r="D107" s="182"/>
      <c r="E107" s="84" t="n">
        <f aca="false">E62</f>
        <v>224.106581188224</v>
      </c>
    </row>
    <row r="108" s="155" customFormat="true" ht="15.75" hidden="false" customHeight="true" outlineLevel="0" collapsed="false">
      <c r="A108" s="137" t="s">
        <v>153</v>
      </c>
      <c r="B108" s="182" t="s">
        <v>252</v>
      </c>
      <c r="C108" s="182"/>
      <c r="D108" s="182"/>
      <c r="E108" s="84" t="n">
        <f aca="false">E82</f>
        <v>147.611345723552</v>
      </c>
    </row>
    <row r="109" s="155" customFormat="true" ht="15.75" hidden="false" customHeight="true" outlineLevel="0" collapsed="false">
      <c r="A109" s="137" t="s">
        <v>94</v>
      </c>
      <c r="B109" s="182" t="s">
        <v>253</v>
      </c>
      <c r="C109" s="182"/>
      <c r="D109" s="182"/>
      <c r="E109" s="84" t="n">
        <f aca="false">E89</f>
        <v>1159.3303125</v>
      </c>
    </row>
    <row r="110" customFormat="false" ht="15.75" hidden="false" customHeight="true" outlineLevel="0" collapsed="false">
      <c r="A110" s="146" t="s">
        <v>254</v>
      </c>
      <c r="B110" s="146"/>
      <c r="C110" s="146"/>
      <c r="D110" s="146"/>
      <c r="E110" s="199" t="n">
        <f aca="false">SUM(E105:E109)</f>
        <v>6586.04751587178</v>
      </c>
    </row>
    <row r="111" customFormat="false" ht="15.75" hidden="false" customHeight="true" outlineLevel="0" collapsed="false">
      <c r="A111" s="137" t="s">
        <v>158</v>
      </c>
      <c r="B111" s="182" t="s">
        <v>255</v>
      </c>
      <c r="C111" s="182"/>
      <c r="D111" s="182"/>
      <c r="E111" s="84" t="n">
        <f aca="false">+E103</f>
        <v>2284.95526060858</v>
      </c>
    </row>
    <row r="112" customFormat="false" ht="16.5" hidden="false" customHeight="true" outlineLevel="0" collapsed="false">
      <c r="A112" s="200" t="s">
        <v>256</v>
      </c>
      <c r="B112" s="200"/>
      <c r="C112" s="200"/>
      <c r="D112" s="200"/>
      <c r="E112" s="201" t="n">
        <f aca="false">+E110+E111</f>
        <v>8871.00277648035</v>
      </c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2"/>
  <sheetViews>
    <sheetView showFormulas="false" showGridLines="true" showRowColHeaders="true" showZeros="true" rightToLeft="false" tabSelected="false" showOutlineSymbols="true" defaultGridColor="true" view="pageBreakPreview" topLeftCell="A28" colorId="64" zoomScale="100" zoomScaleNormal="115" zoomScalePageLayoutView="100" workbookViewId="0">
      <selection pane="topLeft" activeCell="G42" activeCellId="0" sqref="G42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9" width="8.71"/>
    <col collapsed="false" customWidth="true" hidden="false" outlineLevel="0" max="2" min="2" style="100" width="70.71"/>
    <col collapsed="false" customWidth="true" hidden="false" outlineLevel="0" max="3" min="3" style="100" width="12.71"/>
    <col collapsed="false" customWidth="true" hidden="false" outlineLevel="0" max="4" min="4" style="101" width="8.71"/>
    <col collapsed="false" customWidth="true" hidden="false" outlineLevel="0" max="5" min="5" style="102" width="12.71"/>
    <col collapsed="false" customWidth="false" hidden="false" outlineLevel="0" max="16384" min="6" style="103" width="9.14"/>
  </cols>
  <sheetData>
    <row r="1" customFormat="false" ht="15.75" hidden="false" customHeight="false" outlineLevel="0" collapsed="false">
      <c r="A1" s="104"/>
      <c r="B1" s="104"/>
      <c r="C1" s="104"/>
      <c r="D1" s="104"/>
      <c r="E1" s="104"/>
    </row>
    <row r="2" s="106" customFormat="true" ht="16.5" hidden="false" customHeight="true" outlineLevel="0" collapsed="false">
      <c r="A2" s="105"/>
      <c r="B2" s="105"/>
      <c r="C2" s="105"/>
      <c r="D2" s="105"/>
      <c r="E2" s="105"/>
    </row>
    <row r="3" s="106" customFormat="true" ht="15.75" hidden="false" customHeight="false" outlineLevel="0" collapsed="false">
      <c r="A3" s="107" t="s">
        <v>127</v>
      </c>
      <c r="B3" s="107"/>
      <c r="C3" s="107"/>
      <c r="D3" s="107"/>
      <c r="E3" s="107"/>
    </row>
    <row r="4" s="106" customFormat="true" ht="15" hidden="false" customHeight="true" outlineLevel="0" collapsed="false">
      <c r="A4" s="108" t="s">
        <v>90</v>
      </c>
      <c r="B4" s="109" t="s">
        <v>128</v>
      </c>
      <c r="C4" s="110" t="n">
        <v>2025</v>
      </c>
      <c r="D4" s="110"/>
      <c r="E4" s="110"/>
    </row>
    <row r="5" s="106" customFormat="true" ht="75" hidden="false" customHeight="true" outlineLevel="0" collapsed="false">
      <c r="A5" s="108" t="s">
        <v>92</v>
      </c>
      <c r="B5" s="109" t="s">
        <v>129</v>
      </c>
      <c r="C5" s="111" t="s">
        <v>130</v>
      </c>
      <c r="D5" s="111"/>
      <c r="E5" s="111"/>
    </row>
    <row r="6" s="106" customFormat="true" ht="15.75" hidden="false" customHeight="true" outlineLevel="0" collapsed="false">
      <c r="A6" s="108" t="s">
        <v>131</v>
      </c>
      <c r="B6" s="109" t="s">
        <v>132</v>
      </c>
      <c r="C6" s="111" t="s">
        <v>133</v>
      </c>
      <c r="D6" s="111"/>
      <c r="E6" s="111"/>
    </row>
    <row r="7" s="106" customFormat="true" ht="15.75" hidden="false" customHeight="false" outlineLevel="0" collapsed="false">
      <c r="A7" s="108"/>
      <c r="B7" s="109" t="s">
        <v>134</v>
      </c>
      <c r="C7" s="111" t="n">
        <v>12</v>
      </c>
      <c r="D7" s="111"/>
      <c r="E7" s="111"/>
    </row>
    <row r="8" s="106" customFormat="true" ht="15.75" hidden="false" customHeight="false" outlineLevel="0" collapsed="false">
      <c r="A8" s="107" t="s">
        <v>135</v>
      </c>
      <c r="B8" s="107"/>
      <c r="C8" s="107"/>
      <c r="D8" s="107"/>
      <c r="E8" s="107"/>
    </row>
    <row r="9" s="106" customFormat="true" ht="15.75" hidden="false" customHeight="false" outlineLevel="0" collapsed="false">
      <c r="A9" s="107" t="s">
        <v>136</v>
      </c>
      <c r="B9" s="107"/>
      <c r="C9" s="107"/>
      <c r="D9" s="107"/>
      <c r="E9" s="107"/>
    </row>
    <row r="10" s="106" customFormat="true" ht="15.75" hidden="false" customHeight="true" outlineLevel="0" collapsed="false">
      <c r="A10" s="107" t="s">
        <v>137</v>
      </c>
      <c r="B10" s="107"/>
      <c r="C10" s="107"/>
      <c r="D10" s="107"/>
      <c r="E10" s="107"/>
    </row>
    <row r="11" s="106" customFormat="true" ht="30" hidden="false" customHeight="true" outlineLevel="0" collapsed="false">
      <c r="A11" s="112" t="s">
        <v>138</v>
      </c>
      <c r="B11" s="112"/>
      <c r="C11" s="112"/>
      <c r="D11" s="112"/>
      <c r="E11" s="113" t="s">
        <v>139</v>
      </c>
    </row>
    <row r="12" s="106" customFormat="true" ht="75" hidden="false" customHeight="true" outlineLevel="0" collapsed="false">
      <c r="A12" s="108" t="n">
        <v>1</v>
      </c>
      <c r="B12" s="114" t="s">
        <v>140</v>
      </c>
      <c r="C12" s="115" t="s">
        <v>141</v>
      </c>
      <c r="D12" s="115"/>
      <c r="E12" s="115"/>
    </row>
    <row r="13" s="106" customFormat="true" ht="30" hidden="false" customHeight="true" outlineLevel="0" collapsed="false">
      <c r="A13" s="108" t="n">
        <v>2</v>
      </c>
      <c r="B13" s="114" t="s">
        <v>142</v>
      </c>
      <c r="C13" s="116" t="n">
        <v>1974.3</v>
      </c>
      <c r="D13" s="116"/>
      <c r="E13" s="116"/>
    </row>
    <row r="14" s="106" customFormat="true" ht="30" hidden="false" customHeight="true" outlineLevel="0" collapsed="false">
      <c r="A14" s="108" t="n">
        <v>3</v>
      </c>
      <c r="B14" s="114" t="s">
        <v>143</v>
      </c>
      <c r="C14" s="115" t="s">
        <v>257</v>
      </c>
      <c r="D14" s="115"/>
      <c r="E14" s="115"/>
    </row>
    <row r="15" s="106" customFormat="true" ht="15.75" hidden="false" customHeight="false" outlineLevel="0" collapsed="false">
      <c r="A15" s="108" t="n">
        <v>4</v>
      </c>
      <c r="B15" s="117" t="s">
        <v>145</v>
      </c>
      <c r="C15" s="118" t="n">
        <v>45673</v>
      </c>
      <c r="D15" s="118"/>
      <c r="E15" s="118"/>
    </row>
    <row r="16" s="120" customFormat="true" ht="15.75" hidden="false" customHeight="false" outlineLevel="0" collapsed="false">
      <c r="A16" s="119" t="s">
        <v>146</v>
      </c>
      <c r="B16" s="119"/>
      <c r="C16" s="119"/>
      <c r="D16" s="119"/>
      <c r="E16" s="119"/>
    </row>
    <row r="17" s="120" customFormat="true" ht="15.75" hidden="false" customHeight="true" outlineLevel="0" collapsed="false">
      <c r="A17" s="112" t="n">
        <v>1</v>
      </c>
      <c r="B17" s="121" t="s">
        <v>147</v>
      </c>
      <c r="C17" s="121"/>
      <c r="D17" s="121"/>
      <c r="E17" s="122" t="s">
        <v>139</v>
      </c>
    </row>
    <row r="18" s="106" customFormat="true" ht="15.75" hidden="false" customHeight="true" outlineLevel="0" collapsed="false">
      <c r="A18" s="123" t="s">
        <v>90</v>
      </c>
      <c r="B18" s="124" t="s">
        <v>148</v>
      </c>
      <c r="C18" s="117"/>
      <c r="D18" s="117"/>
      <c r="E18" s="125" t="n">
        <f aca="false">C13</f>
        <v>1974.3</v>
      </c>
    </row>
    <row r="19" s="106" customFormat="true" ht="15.75" hidden="false" customHeight="true" outlineLevel="0" collapsed="false">
      <c r="A19" s="123" t="s">
        <v>92</v>
      </c>
      <c r="B19" s="124" t="s">
        <v>149</v>
      </c>
      <c r="C19" s="126" t="s">
        <v>150</v>
      </c>
      <c r="D19" s="126"/>
      <c r="E19" s="125"/>
    </row>
    <row r="20" s="106" customFormat="true" ht="15.75" hidden="false" customHeight="true" outlineLevel="0" collapsed="false">
      <c r="A20" s="123" t="s">
        <v>131</v>
      </c>
      <c r="B20" s="124" t="s">
        <v>151</v>
      </c>
      <c r="C20" s="127" t="s">
        <v>152</v>
      </c>
      <c r="D20" s="127"/>
      <c r="E20" s="84" t="n">
        <f aca="false">40%*1621</f>
        <v>648.4</v>
      </c>
    </row>
    <row r="21" s="106" customFormat="true" ht="15.75" hidden="false" customHeight="true" outlineLevel="0" collapsed="false">
      <c r="A21" s="123" t="s">
        <v>153</v>
      </c>
      <c r="B21" s="124" t="s">
        <v>154</v>
      </c>
      <c r="C21" s="126" t="s">
        <v>155</v>
      </c>
      <c r="D21" s="126"/>
      <c r="E21" s="125" t="n">
        <f aca="false">((((E18+E20)/220)*20%)*8)*15.21</f>
        <v>290.118305454545</v>
      </c>
    </row>
    <row r="22" s="120" customFormat="true" ht="15.75" hidden="false" customHeight="true" outlineLevel="0" collapsed="false">
      <c r="A22" s="123" t="s">
        <v>94</v>
      </c>
      <c r="B22" s="124" t="s">
        <v>156</v>
      </c>
      <c r="C22" s="126" t="s">
        <v>157</v>
      </c>
      <c r="D22" s="126"/>
      <c r="E22" s="125"/>
    </row>
    <row r="23" s="120" customFormat="true" ht="15.75" hidden="false" customHeight="false" outlineLevel="0" collapsed="false">
      <c r="A23" s="123" t="s">
        <v>158</v>
      </c>
      <c r="B23" s="124" t="s">
        <v>159</v>
      </c>
      <c r="C23" s="128"/>
      <c r="D23" s="128"/>
      <c r="E23" s="125"/>
    </row>
    <row r="24" s="106" customFormat="true" ht="15.75" hidden="false" customHeight="true" outlineLevel="0" collapsed="false">
      <c r="A24" s="123" t="s">
        <v>160</v>
      </c>
      <c r="B24" s="129" t="s">
        <v>161</v>
      </c>
      <c r="C24" s="128"/>
      <c r="D24" s="128"/>
      <c r="E24" s="125"/>
    </row>
    <row r="25" s="106" customFormat="true" ht="15.75" hidden="false" customHeight="true" outlineLevel="0" collapsed="false">
      <c r="A25" s="130" t="s">
        <v>162</v>
      </c>
      <c r="B25" s="130"/>
      <c r="C25" s="130"/>
      <c r="D25" s="130"/>
      <c r="E25" s="131" t="n">
        <f aca="false">SUM(E18:E24)</f>
        <v>2912.81830545455</v>
      </c>
    </row>
    <row r="26" s="106" customFormat="true" ht="15.75" hidden="false" customHeight="false" outlineLevel="0" collapsed="false">
      <c r="A26" s="119" t="s">
        <v>163</v>
      </c>
      <c r="B26" s="119"/>
      <c r="C26" s="119"/>
      <c r="D26" s="119"/>
      <c r="E26" s="119"/>
    </row>
    <row r="27" customFormat="false" ht="30" hidden="false" customHeight="true" outlineLevel="0" collapsed="false">
      <c r="A27" s="132" t="n">
        <v>2</v>
      </c>
      <c r="B27" s="133" t="s">
        <v>164</v>
      </c>
      <c r="C27" s="134" t="s">
        <v>165</v>
      </c>
      <c r="D27" s="135"/>
      <c r="E27" s="136" t="s">
        <v>139</v>
      </c>
    </row>
    <row r="28" customFormat="false" ht="15.75" hidden="false" customHeight="false" outlineLevel="0" collapsed="false">
      <c r="A28" s="137" t="s">
        <v>90</v>
      </c>
      <c r="B28" s="138" t="s">
        <v>166</v>
      </c>
      <c r="C28" s="139" t="n">
        <f aca="false">E25</f>
        <v>2912.81830545455</v>
      </c>
      <c r="D28" s="140" t="n">
        <f aca="false">1/12</f>
        <v>0.0833333333333333</v>
      </c>
      <c r="E28" s="84" t="n">
        <f aca="false">(E25)*D28</f>
        <v>242.734858787879</v>
      </c>
    </row>
    <row r="29" customFormat="false" ht="15.75" hidden="false" customHeight="false" outlineLevel="0" collapsed="false">
      <c r="A29" s="137" t="s">
        <v>92</v>
      </c>
      <c r="B29" s="141" t="s">
        <v>258</v>
      </c>
      <c r="C29" s="139" t="n">
        <f aca="false">E25</f>
        <v>2912.81830545455</v>
      </c>
      <c r="D29" s="140" t="n">
        <v>0.1111</v>
      </c>
      <c r="E29" s="84" t="n">
        <f aca="false">(E25)*D29</f>
        <v>323.614113736</v>
      </c>
    </row>
    <row r="30" customFormat="false" ht="15.75" hidden="false" customHeight="true" outlineLevel="0" collapsed="false">
      <c r="A30" s="142" t="s">
        <v>168</v>
      </c>
      <c r="B30" s="142"/>
      <c r="C30" s="142"/>
      <c r="D30" s="143" t="n">
        <f aca="false">SUM(D28:D29)</f>
        <v>0.194433333333333</v>
      </c>
      <c r="E30" s="144" t="n">
        <f aca="false">SUM(E28:E29)</f>
        <v>566.348972523879</v>
      </c>
    </row>
    <row r="31" customFormat="false" ht="30" hidden="false" customHeight="true" outlineLevel="0" collapsed="false">
      <c r="A31" s="145" t="s">
        <v>169</v>
      </c>
      <c r="B31" s="145"/>
      <c r="C31" s="145"/>
      <c r="D31" s="145"/>
      <c r="E31" s="145"/>
    </row>
    <row r="32" customFormat="false" ht="30" hidden="false" customHeight="true" outlineLevel="0" collapsed="false">
      <c r="A32" s="146" t="s">
        <v>170</v>
      </c>
      <c r="B32" s="147" t="s">
        <v>171</v>
      </c>
      <c r="C32" s="148" t="s">
        <v>165</v>
      </c>
      <c r="D32" s="149"/>
      <c r="E32" s="150" t="s">
        <v>139</v>
      </c>
    </row>
    <row r="33" customFormat="false" ht="15" hidden="false" customHeight="true" outlineLevel="0" collapsed="false">
      <c r="A33" s="137" t="s">
        <v>90</v>
      </c>
      <c r="B33" s="151" t="s">
        <v>172</v>
      </c>
      <c r="C33" s="139" t="n">
        <f aca="false">E$25+E$30</f>
        <v>3479.16727797842</v>
      </c>
      <c r="D33" s="140" t="n">
        <v>0.2</v>
      </c>
      <c r="E33" s="84" t="n">
        <f aca="false">C33*D33</f>
        <v>695.833455595685</v>
      </c>
    </row>
    <row r="34" customFormat="false" ht="15.75" hidden="false" customHeight="false" outlineLevel="0" collapsed="false">
      <c r="A34" s="137" t="s">
        <v>92</v>
      </c>
      <c r="B34" s="151" t="s">
        <v>173</v>
      </c>
      <c r="C34" s="139" t="n">
        <f aca="false">E$25+E$30</f>
        <v>3479.16727797842</v>
      </c>
      <c r="D34" s="152" t="n">
        <v>0.025</v>
      </c>
      <c r="E34" s="84" t="n">
        <f aca="false">C34*D34</f>
        <v>86.9791819494606</v>
      </c>
    </row>
    <row r="35" customFormat="false" ht="35.05" hidden="false" customHeight="false" outlineLevel="0" collapsed="false">
      <c r="A35" s="137" t="s">
        <v>131</v>
      </c>
      <c r="B35" s="153" t="s">
        <v>174</v>
      </c>
      <c r="C35" s="139" t="n">
        <f aca="false">E$25+E$30</f>
        <v>3479.16727797842</v>
      </c>
      <c r="D35" s="152" t="n">
        <v>0.03</v>
      </c>
      <c r="E35" s="84" t="n">
        <f aca="false">C35*D35</f>
        <v>104.375018339353</v>
      </c>
    </row>
    <row r="36" customFormat="false" ht="15.75" hidden="false" customHeight="false" outlineLevel="0" collapsed="false">
      <c r="A36" s="137" t="s">
        <v>153</v>
      </c>
      <c r="B36" s="151" t="s">
        <v>175</v>
      </c>
      <c r="C36" s="139" t="n">
        <f aca="false">E$25+E$30</f>
        <v>3479.16727797842</v>
      </c>
      <c r="D36" s="152" t="n">
        <v>0.015</v>
      </c>
      <c r="E36" s="84" t="n">
        <f aca="false">C36*D36</f>
        <v>52.1875091696764</v>
      </c>
    </row>
    <row r="37" customFormat="false" ht="15.75" hidden="false" customHeight="false" outlineLevel="0" collapsed="false">
      <c r="A37" s="137" t="s">
        <v>94</v>
      </c>
      <c r="B37" s="151" t="s">
        <v>176</v>
      </c>
      <c r="C37" s="139" t="n">
        <f aca="false">E$25+E$30</f>
        <v>3479.16727797842</v>
      </c>
      <c r="D37" s="152" t="n">
        <v>0.01</v>
      </c>
      <c r="E37" s="84" t="n">
        <f aca="false">C37*D37</f>
        <v>34.7916727797842</v>
      </c>
    </row>
    <row r="38" s="155" customFormat="true" ht="15.75" hidden="false" customHeight="false" outlineLevel="0" collapsed="false">
      <c r="A38" s="137" t="s">
        <v>158</v>
      </c>
      <c r="B38" s="154" t="s">
        <v>177</v>
      </c>
      <c r="C38" s="139" t="n">
        <f aca="false">E$25+E$30</f>
        <v>3479.16727797842</v>
      </c>
      <c r="D38" s="152" t="n">
        <v>0.006</v>
      </c>
      <c r="E38" s="84" t="n">
        <f aca="false">C38*D38</f>
        <v>20.8750036678705</v>
      </c>
    </row>
    <row r="39" s="155" customFormat="true" ht="23.85" hidden="false" customHeight="false" outlineLevel="0" collapsed="false">
      <c r="A39" s="137" t="s">
        <v>160</v>
      </c>
      <c r="B39" s="153" t="s">
        <v>178</v>
      </c>
      <c r="C39" s="139" t="n">
        <f aca="false">E$25+E$30</f>
        <v>3479.16727797842</v>
      </c>
      <c r="D39" s="152" t="n">
        <v>0.002</v>
      </c>
      <c r="E39" s="84" t="n">
        <f aca="false">C39*D39</f>
        <v>6.95833455595685</v>
      </c>
    </row>
    <row r="40" s="155" customFormat="true" ht="15.75" hidden="false" customHeight="false" outlineLevel="0" collapsed="false">
      <c r="A40" s="137" t="s">
        <v>179</v>
      </c>
      <c r="B40" s="151" t="s">
        <v>180</v>
      </c>
      <c r="C40" s="139" t="n">
        <f aca="false">E$25+E$30</f>
        <v>3479.16727797842</v>
      </c>
      <c r="D40" s="152" t="n">
        <v>0.08</v>
      </c>
      <c r="E40" s="84" t="n">
        <f aca="false">C40*D40</f>
        <v>278.333382238274</v>
      </c>
    </row>
    <row r="41" s="155" customFormat="true" ht="15.75" hidden="false" customHeight="true" outlineLevel="0" collapsed="false">
      <c r="A41" s="142" t="s">
        <v>168</v>
      </c>
      <c r="B41" s="142"/>
      <c r="C41" s="142"/>
      <c r="D41" s="156" t="n">
        <f aca="false">SUM(D33:D40)</f>
        <v>0.368</v>
      </c>
      <c r="E41" s="144" t="n">
        <f aca="false">SUM(E33:E40)</f>
        <v>1280.33355829606</v>
      </c>
    </row>
    <row r="42" s="155" customFormat="true" ht="15.75" hidden="false" customHeight="false" outlineLevel="0" collapsed="false">
      <c r="A42" s="157" t="s">
        <v>181</v>
      </c>
      <c r="B42" s="157"/>
      <c r="C42" s="157"/>
      <c r="D42" s="157"/>
      <c r="E42" s="157"/>
    </row>
    <row r="43" s="155" customFormat="true" ht="30" hidden="false" customHeight="true" outlineLevel="0" collapsed="false">
      <c r="A43" s="202" t="s">
        <v>182</v>
      </c>
      <c r="B43" s="159" t="s">
        <v>183</v>
      </c>
      <c r="C43" s="134" t="s">
        <v>165</v>
      </c>
      <c r="D43" s="135"/>
      <c r="E43" s="136" t="s">
        <v>139</v>
      </c>
    </row>
    <row r="44" s="155" customFormat="true" ht="15.75" hidden="false" customHeight="false" outlineLevel="0" collapsed="false">
      <c r="A44" s="160" t="s">
        <v>90</v>
      </c>
      <c r="B44" s="161" t="s">
        <v>184</v>
      </c>
      <c r="C44" s="162"/>
      <c r="D44" s="161"/>
      <c r="E44" s="163" t="n">
        <v>139.72</v>
      </c>
    </row>
    <row r="45" s="155" customFormat="true" ht="15.75" hidden="false" customHeight="false" outlineLevel="0" collapsed="false">
      <c r="A45" s="164" t="s">
        <v>92</v>
      </c>
      <c r="B45" s="129" t="s">
        <v>185</v>
      </c>
      <c r="C45" s="165" t="n">
        <v>626.94</v>
      </c>
      <c r="D45" s="128"/>
      <c r="E45" s="125" t="n">
        <f aca="false">C45-(C45*0.99%)</f>
        <v>620.733294</v>
      </c>
    </row>
    <row r="46" s="155" customFormat="true" ht="15.75" hidden="false" customHeight="false" outlineLevel="0" collapsed="false">
      <c r="A46" s="137" t="s">
        <v>131</v>
      </c>
      <c r="B46" s="138" t="s">
        <v>186</v>
      </c>
      <c r="C46" s="166"/>
      <c r="D46" s="167"/>
      <c r="E46" s="84" t="n">
        <v>0</v>
      </c>
    </row>
    <row r="47" s="155" customFormat="true" ht="23.85" hidden="false" customHeight="false" outlineLevel="0" collapsed="false">
      <c r="A47" s="137" t="s">
        <v>153</v>
      </c>
      <c r="B47" s="138" t="s">
        <v>187</v>
      </c>
      <c r="C47" s="166" t="s">
        <v>188</v>
      </c>
      <c r="D47" s="167"/>
      <c r="E47" s="84" t="n">
        <f aca="false">C13*50%*0.0199*2/12</f>
        <v>3.2740475</v>
      </c>
    </row>
    <row r="48" s="155" customFormat="true" ht="15.75" hidden="false" customHeight="false" outlineLevel="0" collapsed="false">
      <c r="A48" s="137" t="s">
        <v>94</v>
      </c>
      <c r="B48" s="168" t="s">
        <v>189</v>
      </c>
      <c r="C48" s="169"/>
      <c r="D48" s="170"/>
      <c r="E48" s="171" t="n">
        <v>5.82</v>
      </c>
    </row>
    <row r="49" s="155" customFormat="true" ht="15.75" hidden="false" customHeight="true" outlineLevel="0" collapsed="false">
      <c r="A49" s="142" t="s">
        <v>190</v>
      </c>
      <c r="B49" s="142"/>
      <c r="C49" s="142"/>
      <c r="D49" s="142"/>
      <c r="E49" s="144" t="n">
        <f aca="false">SUM(E44:E48)</f>
        <v>769.5473415</v>
      </c>
    </row>
    <row r="50" s="155" customFormat="true" ht="15.75" hidden="false" customHeight="true" outlineLevel="0" collapsed="false">
      <c r="A50" s="157" t="s">
        <v>191</v>
      </c>
      <c r="B50" s="157"/>
      <c r="C50" s="157"/>
      <c r="D50" s="157"/>
      <c r="E50" s="157"/>
    </row>
    <row r="51" s="155" customFormat="true" ht="15.75" hidden="false" customHeight="true" outlineLevel="0" collapsed="false">
      <c r="A51" s="112" t="s">
        <v>170</v>
      </c>
      <c r="B51" s="172" t="s">
        <v>192</v>
      </c>
      <c r="C51" s="173"/>
      <c r="D51" s="173"/>
      <c r="E51" s="174" t="n">
        <f aca="false">E30</f>
        <v>566.348972523879</v>
      </c>
    </row>
    <row r="52" s="155" customFormat="true" ht="15.75" hidden="false" customHeight="true" outlineLevel="0" collapsed="false">
      <c r="A52" s="112" t="s">
        <v>193</v>
      </c>
      <c r="B52" s="172" t="s">
        <v>194</v>
      </c>
      <c r="C52" s="173"/>
      <c r="D52" s="173"/>
      <c r="E52" s="174" t="n">
        <f aca="false">E41</f>
        <v>1280.33355829606</v>
      </c>
    </row>
    <row r="53" s="155" customFormat="true" ht="15.75" hidden="false" customHeight="true" outlineLevel="0" collapsed="false">
      <c r="A53" s="112" t="s">
        <v>182</v>
      </c>
      <c r="B53" s="172" t="s">
        <v>195</v>
      </c>
      <c r="C53" s="173"/>
      <c r="D53" s="173"/>
      <c r="E53" s="174" t="n">
        <f aca="false">E49</f>
        <v>769.5473415</v>
      </c>
    </row>
    <row r="54" s="155" customFormat="true" ht="15.75" hidden="false" customHeight="true" outlineLevel="0" collapsed="false">
      <c r="A54" s="130" t="s">
        <v>196</v>
      </c>
      <c r="B54" s="130"/>
      <c r="C54" s="130"/>
      <c r="D54" s="130"/>
      <c r="E54" s="131" t="n">
        <f aca="false">SUM(E51:E53)</f>
        <v>2616.22987231994</v>
      </c>
    </row>
    <row r="55" s="155" customFormat="true" ht="15.75" hidden="false" customHeight="true" outlineLevel="0" collapsed="false">
      <c r="A55" s="119" t="s">
        <v>197</v>
      </c>
      <c r="B55" s="119"/>
      <c r="C55" s="119"/>
      <c r="D55" s="119"/>
      <c r="E55" s="119"/>
    </row>
    <row r="56" s="155" customFormat="true" ht="30" hidden="false" customHeight="true" outlineLevel="0" collapsed="false">
      <c r="A56" s="146" t="s">
        <v>198</v>
      </c>
      <c r="B56" s="147" t="s">
        <v>199</v>
      </c>
      <c r="C56" s="175" t="s">
        <v>165</v>
      </c>
      <c r="D56" s="63"/>
      <c r="E56" s="150" t="s">
        <v>139</v>
      </c>
    </row>
    <row r="57" s="155" customFormat="true" ht="15.75" hidden="false" customHeight="true" outlineLevel="0" collapsed="false">
      <c r="A57" s="137" t="s">
        <v>90</v>
      </c>
      <c r="B57" s="138" t="s">
        <v>200</v>
      </c>
      <c r="C57" s="176" t="n">
        <f aca="false">E$25+E$30</f>
        <v>3479.16727797842</v>
      </c>
      <c r="D57" s="140" t="n">
        <v>0.0046</v>
      </c>
      <c r="E57" s="84" t="n">
        <f aca="false">C57*D57</f>
        <v>16.0041694787008</v>
      </c>
    </row>
    <row r="58" s="155" customFormat="true" ht="15.75" hidden="false" customHeight="true" outlineLevel="0" collapsed="false">
      <c r="A58" s="137" t="s">
        <v>92</v>
      </c>
      <c r="B58" s="138" t="s">
        <v>201</v>
      </c>
      <c r="C58" s="176" t="n">
        <f aca="false">E$25+E$30</f>
        <v>3479.16727797842</v>
      </c>
      <c r="D58" s="140" t="n">
        <v>0.0004</v>
      </c>
      <c r="E58" s="84" t="n">
        <f aca="false">C58*D58</f>
        <v>1.39166691119137</v>
      </c>
    </row>
    <row r="59" s="155" customFormat="true" ht="15.75" hidden="false" customHeight="true" outlineLevel="0" collapsed="false">
      <c r="A59" s="137" t="s">
        <v>131</v>
      </c>
      <c r="B59" s="138" t="s">
        <v>202</v>
      </c>
      <c r="C59" s="176" t="n">
        <f aca="false">E$25+E$30</f>
        <v>3479.16727797842</v>
      </c>
      <c r="D59" s="140" t="n">
        <v>0.0194</v>
      </c>
      <c r="E59" s="84" t="n">
        <f aca="false">C59*D59</f>
        <v>67.4958451927814</v>
      </c>
    </row>
    <row r="60" s="155" customFormat="true" ht="30" hidden="false" customHeight="true" outlineLevel="0" collapsed="false">
      <c r="A60" s="137" t="s">
        <v>153</v>
      </c>
      <c r="B60" s="149" t="s">
        <v>203</v>
      </c>
      <c r="C60" s="176" t="n">
        <f aca="false">E$25+E$30</f>
        <v>3479.16727797842</v>
      </c>
      <c r="D60" s="177" t="n">
        <f aca="false">D41*D59</f>
        <v>0.0071392</v>
      </c>
      <c r="E60" s="84" t="n">
        <f aca="false">C60*D60</f>
        <v>24.8384710309436</v>
      </c>
    </row>
    <row r="61" s="155" customFormat="true" ht="32.25" hidden="false" customHeight="true" outlineLevel="0" collapsed="false">
      <c r="A61" s="137" t="s">
        <v>94</v>
      </c>
      <c r="B61" s="138" t="s">
        <v>204</v>
      </c>
      <c r="C61" s="176" t="n">
        <f aca="false">E$25+E$30</f>
        <v>3479.16727797842</v>
      </c>
      <c r="D61" s="140" t="n">
        <v>0.04</v>
      </c>
      <c r="E61" s="84" t="n">
        <f aca="false">C61*D61</f>
        <v>139.166691119137</v>
      </c>
    </row>
    <row r="62" s="155" customFormat="true" ht="15.75" hidden="false" customHeight="true" outlineLevel="0" collapsed="false">
      <c r="A62" s="130" t="s">
        <v>205</v>
      </c>
      <c r="B62" s="130"/>
      <c r="C62" s="130"/>
      <c r="D62" s="178" t="n">
        <f aca="false">SUM(D57:D61)</f>
        <v>0.0715392</v>
      </c>
      <c r="E62" s="131" t="n">
        <f aca="false">SUM(E57:E61)</f>
        <v>248.896843732754</v>
      </c>
    </row>
    <row r="63" s="155" customFormat="true" ht="15.75" hidden="false" customHeight="true" outlineLevel="0" collapsed="false">
      <c r="A63" s="119" t="s">
        <v>206</v>
      </c>
      <c r="B63" s="119"/>
      <c r="C63" s="119"/>
      <c r="D63" s="119"/>
      <c r="E63" s="119"/>
    </row>
    <row r="64" s="155" customFormat="true" ht="30" hidden="false" customHeight="true" outlineLevel="0" collapsed="false">
      <c r="A64" s="146" t="s">
        <v>207</v>
      </c>
      <c r="B64" s="179" t="s">
        <v>208</v>
      </c>
      <c r="C64" s="175" t="s">
        <v>165</v>
      </c>
      <c r="D64" s="180"/>
      <c r="E64" s="150" t="s">
        <v>139</v>
      </c>
    </row>
    <row r="65" s="155" customFormat="true" ht="15.75" hidden="false" customHeight="false" outlineLevel="0" collapsed="false">
      <c r="A65" s="137" t="s">
        <v>90</v>
      </c>
      <c r="B65" s="138" t="s">
        <v>209</v>
      </c>
      <c r="C65" s="181" t="n">
        <f aca="false">E$25+E$54+E$62+E85</f>
        <v>5816.57002150724</v>
      </c>
      <c r="D65" s="140" t="n">
        <f aca="false">D29/12</f>
        <v>0.00925833333333333</v>
      </c>
      <c r="E65" s="84" t="n">
        <f aca="false">C65*D65</f>
        <v>53.8517441157879</v>
      </c>
    </row>
    <row r="66" s="155" customFormat="true" ht="15.75" hidden="false" customHeight="false" outlineLevel="0" collapsed="false">
      <c r="A66" s="137" t="s">
        <v>92</v>
      </c>
      <c r="B66" s="138" t="s">
        <v>210</v>
      </c>
      <c r="C66" s="181" t="n">
        <f aca="false">E$25+E$54+E$62+E85</f>
        <v>5816.57002150724</v>
      </c>
      <c r="D66" s="140" t="n">
        <v>0.0139</v>
      </c>
      <c r="E66" s="84" t="n">
        <f aca="false">C66*D66</f>
        <v>80.8503232989506</v>
      </c>
    </row>
    <row r="67" s="155" customFormat="true" ht="15.75" hidden="false" customHeight="false" outlineLevel="0" collapsed="false">
      <c r="A67" s="137" t="s">
        <v>131</v>
      </c>
      <c r="B67" s="138" t="s">
        <v>211</v>
      </c>
      <c r="C67" s="181" t="n">
        <f aca="false">E$25+E$54+E$62+E85</f>
        <v>5816.57002150724</v>
      </c>
      <c r="D67" s="140" t="n">
        <v>0.0013</v>
      </c>
      <c r="E67" s="84" t="n">
        <f aca="false">C67*D67</f>
        <v>7.56154102795941</v>
      </c>
    </row>
    <row r="68" s="155" customFormat="true" ht="15.75" hidden="false" customHeight="false" outlineLevel="0" collapsed="false">
      <c r="A68" s="137" t="s">
        <v>153</v>
      </c>
      <c r="B68" s="138" t="s">
        <v>212</v>
      </c>
      <c r="C68" s="181" t="n">
        <f aca="false">E$25+E$54+E$62+E85</f>
        <v>5816.57002150724</v>
      </c>
      <c r="D68" s="140" t="n">
        <v>0.0002</v>
      </c>
      <c r="E68" s="84" t="n">
        <f aca="false">C68*D68</f>
        <v>1.16331400430145</v>
      </c>
    </row>
    <row r="69" s="155" customFormat="true" ht="15.75" hidden="false" customHeight="false" outlineLevel="0" collapsed="false">
      <c r="A69" s="137" t="s">
        <v>94</v>
      </c>
      <c r="B69" s="138" t="s">
        <v>213</v>
      </c>
      <c r="C69" s="181" t="n">
        <f aca="false">E$25+E$54+E$62+E85</f>
        <v>5816.57002150724</v>
      </c>
      <c r="D69" s="140" t="n">
        <v>0.0028</v>
      </c>
      <c r="E69" s="84" t="n">
        <f aca="false">C69*D69</f>
        <v>16.2863960602203</v>
      </c>
    </row>
    <row r="70" s="155" customFormat="true" ht="15.75" hidden="false" customHeight="false" outlineLevel="0" collapsed="false">
      <c r="A70" s="137" t="s">
        <v>158</v>
      </c>
      <c r="B70" s="138" t="s">
        <v>214</v>
      </c>
      <c r="C70" s="181" t="n">
        <f aca="false">E$25+E$54+E$62+E85</f>
        <v>5816.57002150724</v>
      </c>
      <c r="D70" s="140" t="n">
        <v>0.0003</v>
      </c>
      <c r="E70" s="84" t="n">
        <f aca="false">C70*D70</f>
        <v>1.74497100645217</v>
      </c>
    </row>
    <row r="71" s="155" customFormat="true" ht="15.75" hidden="false" customHeight="false" outlineLevel="0" collapsed="false">
      <c r="A71" s="137" t="s">
        <v>160</v>
      </c>
      <c r="B71" s="182" t="s">
        <v>215</v>
      </c>
      <c r="C71" s="181" t="n">
        <f aca="false">E$25+E$54+E$62+E85</f>
        <v>5816.57002150724</v>
      </c>
      <c r="D71" s="140" t="n">
        <v>0</v>
      </c>
      <c r="E71" s="84" t="n">
        <f aca="false">C71*D71</f>
        <v>0</v>
      </c>
    </row>
    <row r="72" s="155" customFormat="true" ht="15.75" hidden="false" customHeight="true" outlineLevel="0" collapsed="false">
      <c r="A72" s="142" t="s">
        <v>216</v>
      </c>
      <c r="B72" s="142"/>
      <c r="C72" s="142"/>
      <c r="D72" s="183" t="n">
        <f aca="false">SUM(D65:D71)</f>
        <v>0.0277583333333333</v>
      </c>
      <c r="E72" s="144" t="n">
        <f aca="false">SUM(E65:E71)</f>
        <v>161.458289513672</v>
      </c>
    </row>
    <row r="73" s="155" customFormat="true" ht="15.75" hidden="false" customHeight="true" outlineLevel="0" collapsed="false">
      <c r="A73" s="157" t="s">
        <v>217</v>
      </c>
      <c r="B73" s="157"/>
      <c r="C73" s="157"/>
      <c r="D73" s="157"/>
      <c r="E73" s="157"/>
    </row>
    <row r="74" s="155" customFormat="true" ht="15.75" hidden="false" customHeight="false" outlineLevel="0" collapsed="false">
      <c r="A74" s="146"/>
      <c r="B74" s="147" t="s">
        <v>217</v>
      </c>
      <c r="C74" s="149"/>
      <c r="D74" s="149"/>
      <c r="E74" s="150" t="s">
        <v>139</v>
      </c>
    </row>
    <row r="75" s="155" customFormat="true" ht="15.75" hidden="false" customHeight="true" outlineLevel="0" collapsed="false">
      <c r="A75" s="137" t="s">
        <v>90</v>
      </c>
      <c r="B75" s="138" t="s">
        <v>218</v>
      </c>
      <c r="C75" s="166"/>
      <c r="D75" s="140" t="n">
        <v>0</v>
      </c>
      <c r="E75" s="84" t="n">
        <f aca="false">(E$25+E$54+E$62+E85)*D75</f>
        <v>0</v>
      </c>
    </row>
    <row r="76" s="155" customFormat="true" ht="15.75" hidden="false" customHeight="true" outlineLevel="0" collapsed="false">
      <c r="A76" s="142" t="s">
        <v>219</v>
      </c>
      <c r="B76" s="142"/>
      <c r="C76" s="142"/>
      <c r="D76" s="143" t="n">
        <f aca="false">SUM(D75)</f>
        <v>0</v>
      </c>
      <c r="E76" s="144" t="n">
        <f aca="false">SUM(E75)</f>
        <v>0</v>
      </c>
    </row>
    <row r="77" s="155" customFormat="true" ht="15.75" hidden="false" customHeight="true" outlineLevel="0" collapsed="false">
      <c r="A77" s="184" t="s">
        <v>220</v>
      </c>
      <c r="B77" s="184"/>
      <c r="C77" s="184"/>
      <c r="D77" s="184"/>
      <c r="E77" s="184"/>
    </row>
    <row r="78" s="155" customFormat="true" ht="15.75" hidden="false" customHeight="true" outlineLevel="0" collapsed="false">
      <c r="A78" s="146" t="n">
        <v>4</v>
      </c>
      <c r="B78" s="185" t="s">
        <v>221</v>
      </c>
      <c r="C78" s="186"/>
      <c r="D78" s="187"/>
      <c r="E78" s="150" t="s">
        <v>139</v>
      </c>
    </row>
    <row r="79" s="155" customFormat="true" ht="15.75" hidden="false" customHeight="true" outlineLevel="0" collapsed="false">
      <c r="A79" s="137" t="s">
        <v>207</v>
      </c>
      <c r="B79" s="138" t="s">
        <v>208</v>
      </c>
      <c r="C79" s="186"/>
      <c r="D79" s="140" t="n">
        <f aca="false">D72</f>
        <v>0.0277583333333333</v>
      </c>
      <c r="E79" s="84" t="n">
        <f aca="false">E72</f>
        <v>161.458289513672</v>
      </c>
    </row>
    <row r="80" s="155" customFormat="true" ht="15.75" hidden="false" customHeight="true" outlineLevel="0" collapsed="false">
      <c r="A80" s="137" t="s">
        <v>222</v>
      </c>
      <c r="B80" s="138" t="s">
        <v>217</v>
      </c>
      <c r="C80" s="186"/>
      <c r="D80" s="140" t="n">
        <v>0</v>
      </c>
      <c r="E80" s="84" t="n">
        <f aca="false">(D$25+D$53+D$61)*D80</f>
        <v>0</v>
      </c>
    </row>
    <row r="81" s="155" customFormat="true" ht="15.75" hidden="false" customHeight="true" outlineLevel="0" collapsed="false">
      <c r="A81" s="142" t="s">
        <v>168</v>
      </c>
      <c r="B81" s="142"/>
      <c r="C81" s="142"/>
      <c r="D81" s="143" t="n">
        <f aca="false">SUM(D79:D80)</f>
        <v>0.0277583333333333</v>
      </c>
      <c r="E81" s="144" t="n">
        <f aca="false">SUM(E79:E80)</f>
        <v>161.458289513672</v>
      </c>
    </row>
    <row r="82" s="155" customFormat="true" ht="15.75" hidden="false" customHeight="true" outlineLevel="0" collapsed="false">
      <c r="A82" s="130" t="s">
        <v>223</v>
      </c>
      <c r="B82" s="130"/>
      <c r="C82" s="130"/>
      <c r="D82" s="130"/>
      <c r="E82" s="131" t="n">
        <f aca="false">SUM(E72+E76)</f>
        <v>161.458289513672</v>
      </c>
    </row>
    <row r="83" s="155" customFormat="true" ht="15.75" hidden="false" customHeight="true" outlineLevel="0" collapsed="false">
      <c r="A83" s="119" t="s">
        <v>224</v>
      </c>
      <c r="B83" s="119"/>
      <c r="C83" s="119"/>
      <c r="D83" s="119"/>
      <c r="E83" s="119"/>
    </row>
    <row r="84" s="155" customFormat="true" ht="15.75" hidden="false" customHeight="true" outlineLevel="0" collapsed="false">
      <c r="A84" s="146" t="n">
        <v>5</v>
      </c>
      <c r="B84" s="147" t="s">
        <v>225</v>
      </c>
      <c r="C84" s="149"/>
      <c r="D84" s="149"/>
      <c r="E84" s="150" t="s">
        <v>139</v>
      </c>
    </row>
    <row r="85" s="155" customFormat="true" ht="15.75" hidden="false" customHeight="true" outlineLevel="0" collapsed="false">
      <c r="A85" s="164" t="s">
        <v>90</v>
      </c>
      <c r="B85" s="129" t="s">
        <v>226</v>
      </c>
      <c r="C85" s="188"/>
      <c r="D85" s="189"/>
      <c r="E85" s="84" t="n">
        <f aca="false">'EPI''s e Uniformes'!H7</f>
        <v>38.625</v>
      </c>
    </row>
    <row r="86" s="155" customFormat="true" ht="15.75" hidden="false" customHeight="true" outlineLevel="0" collapsed="false">
      <c r="A86" s="164" t="s">
        <v>92</v>
      </c>
      <c r="B86" s="129" t="s">
        <v>227</v>
      </c>
      <c r="C86" s="188"/>
      <c r="D86" s="189"/>
      <c r="E86" s="84" t="n">
        <f aca="false">Materiais!H14</f>
        <v>263.08125</v>
      </c>
    </row>
    <row r="87" s="155" customFormat="true" ht="15.75" hidden="false" customHeight="true" outlineLevel="0" collapsed="false">
      <c r="A87" s="164" t="s">
        <v>131</v>
      </c>
      <c r="B87" s="129" t="s">
        <v>228</v>
      </c>
      <c r="C87" s="188"/>
      <c r="D87" s="189"/>
      <c r="E87" s="84" t="n">
        <f aca="false">'Materiais Permanentes'!H13</f>
        <v>857.6240625</v>
      </c>
    </row>
    <row r="88" s="155" customFormat="true" ht="15.75" hidden="false" customHeight="true" outlineLevel="0" collapsed="false">
      <c r="A88" s="164" t="s">
        <v>153</v>
      </c>
      <c r="B88" s="129" t="s">
        <v>229</v>
      </c>
      <c r="C88" s="188"/>
      <c r="D88" s="189"/>
      <c r="E88" s="84" t="n">
        <v>0</v>
      </c>
    </row>
    <row r="89" s="155" customFormat="true" ht="15.75" hidden="false" customHeight="true" outlineLevel="0" collapsed="false">
      <c r="A89" s="130" t="s">
        <v>230</v>
      </c>
      <c r="B89" s="130"/>
      <c r="C89" s="130"/>
      <c r="D89" s="130"/>
      <c r="E89" s="131" t="n">
        <f aca="false">SUM(E85:E88)</f>
        <v>1159.3303125</v>
      </c>
    </row>
    <row r="90" s="155" customFormat="true" ht="23.25" hidden="false" customHeight="true" outlineLevel="0" collapsed="false">
      <c r="A90" s="132" t="s">
        <v>231</v>
      </c>
      <c r="B90" s="132"/>
      <c r="C90" s="132"/>
      <c r="D90" s="132"/>
      <c r="E90" s="190" t="n">
        <f aca="false">E89+E82+E62+E54+E25</f>
        <v>7098.73362352091</v>
      </c>
    </row>
    <row r="91" s="155" customFormat="true" ht="19.5" hidden="false" customHeight="true" outlineLevel="0" collapsed="false">
      <c r="A91" s="119" t="s">
        <v>232</v>
      </c>
      <c r="B91" s="119"/>
      <c r="C91" s="119"/>
      <c r="D91" s="119"/>
      <c r="E91" s="119"/>
    </row>
    <row r="92" s="155" customFormat="true" ht="30" hidden="false" customHeight="true" outlineLevel="0" collapsed="false">
      <c r="A92" s="146" t="n">
        <v>6</v>
      </c>
      <c r="B92" s="147" t="s">
        <v>233</v>
      </c>
      <c r="C92" s="148" t="s">
        <v>165</v>
      </c>
      <c r="D92" s="148"/>
      <c r="E92" s="150" t="s">
        <v>139</v>
      </c>
    </row>
    <row r="93" s="155" customFormat="true" ht="15.75" hidden="false" customHeight="false" outlineLevel="0" collapsed="false">
      <c r="A93" s="137" t="s">
        <v>90</v>
      </c>
      <c r="B93" s="138" t="s">
        <v>234</v>
      </c>
      <c r="C93" s="191" t="n">
        <f aca="false">E90</f>
        <v>7098.73362352091</v>
      </c>
      <c r="D93" s="140" t="n">
        <v>0.05</v>
      </c>
      <c r="E93" s="84" t="n">
        <f aca="false">+C93*D93</f>
        <v>354.936681176046</v>
      </c>
    </row>
    <row r="94" s="155" customFormat="true" ht="15.75" hidden="false" customHeight="false" outlineLevel="0" collapsed="false">
      <c r="A94" s="137" t="s">
        <v>92</v>
      </c>
      <c r="B94" s="138" t="s">
        <v>235</v>
      </c>
      <c r="C94" s="191" t="n">
        <f aca="false">E90+E93</f>
        <v>7453.67030469696</v>
      </c>
      <c r="D94" s="140" t="n">
        <v>0.1</v>
      </c>
      <c r="E94" s="84" t="n">
        <f aca="false">D94*(C94)</f>
        <v>745.367030469696</v>
      </c>
    </row>
    <row r="95" s="155" customFormat="true" ht="30.75" hidden="false" customHeight="true" outlineLevel="0" collapsed="false">
      <c r="A95" s="137"/>
      <c r="B95" s="138" t="s">
        <v>236</v>
      </c>
      <c r="C95" s="138"/>
      <c r="D95" s="140" t="n">
        <f aca="false">1-D102</f>
        <v>0.8575</v>
      </c>
      <c r="E95" s="84" t="n">
        <f aca="false">+E90+E93+E94</f>
        <v>8199.03733516665</v>
      </c>
    </row>
    <row r="96" s="155" customFormat="true" ht="15.75" hidden="false" customHeight="false" outlineLevel="0" collapsed="false">
      <c r="A96" s="137"/>
      <c r="B96" s="182"/>
      <c r="C96" s="192"/>
      <c r="D96" s="83"/>
      <c r="E96" s="193" t="n">
        <f aca="false">+E95/D95</f>
        <v>9561.55957453837</v>
      </c>
    </row>
    <row r="97" s="155" customFormat="true" ht="15.75" hidden="false" customHeight="false" outlineLevel="0" collapsed="false">
      <c r="A97" s="137" t="s">
        <v>131</v>
      </c>
      <c r="B97" s="182" t="s">
        <v>237</v>
      </c>
      <c r="C97" s="192"/>
      <c r="D97" s="194" t="n">
        <f aca="false">D99+D100+D101</f>
        <v>0.1425</v>
      </c>
      <c r="E97" s="193"/>
    </row>
    <row r="98" s="155" customFormat="true" ht="15.75" hidden="false" customHeight="false" outlineLevel="0" collapsed="false">
      <c r="A98" s="137" t="s">
        <v>238</v>
      </c>
      <c r="B98" s="182" t="s">
        <v>239</v>
      </c>
      <c r="C98" s="182"/>
      <c r="D98" s="194" t="n">
        <f aca="false">D99+D100</f>
        <v>0.0925</v>
      </c>
      <c r="E98" s="84"/>
    </row>
    <row r="99" s="155" customFormat="true" ht="15.75" hidden="false" customHeight="false" outlineLevel="0" collapsed="false">
      <c r="A99" s="137" t="s">
        <v>240</v>
      </c>
      <c r="B99" s="138" t="s">
        <v>241</v>
      </c>
      <c r="C99" s="82" t="n">
        <f aca="false">E96</f>
        <v>9561.55957453837</v>
      </c>
      <c r="D99" s="140" t="n">
        <v>0.0165</v>
      </c>
      <c r="E99" s="84" t="n">
        <f aca="false">C99*D99</f>
        <v>157.765732979883</v>
      </c>
    </row>
    <row r="100" s="155" customFormat="true" ht="15.75" hidden="false" customHeight="false" outlineLevel="0" collapsed="false">
      <c r="A100" s="137" t="s">
        <v>242</v>
      </c>
      <c r="B100" s="138" t="s">
        <v>243</v>
      </c>
      <c r="C100" s="82" t="n">
        <f aca="false">E96</f>
        <v>9561.55957453837</v>
      </c>
      <c r="D100" s="140" t="n">
        <v>0.076</v>
      </c>
      <c r="E100" s="84" t="n">
        <f aca="false">C100*D100</f>
        <v>726.678527664916</v>
      </c>
    </row>
    <row r="101" s="155" customFormat="true" ht="15.75" hidden="false" customHeight="false" outlineLevel="0" collapsed="false">
      <c r="A101" s="137" t="s">
        <v>244</v>
      </c>
      <c r="B101" s="138" t="s">
        <v>245</v>
      </c>
      <c r="C101" s="82" t="n">
        <f aca="false">E96</f>
        <v>9561.55957453837</v>
      </c>
      <c r="D101" s="140" t="n">
        <v>0.05</v>
      </c>
      <c r="E101" s="84" t="n">
        <f aca="false">C101*D101</f>
        <v>478.077978726918</v>
      </c>
    </row>
    <row r="102" s="155" customFormat="true" ht="15.75" hidden="false" customHeight="false" outlineLevel="0" collapsed="false">
      <c r="A102" s="146"/>
      <c r="B102" s="195" t="s">
        <v>246</v>
      </c>
      <c r="C102" s="195"/>
      <c r="D102" s="196" t="n">
        <f aca="false">D97</f>
        <v>0.1425</v>
      </c>
      <c r="E102" s="84" t="n">
        <f aca="false">SUM(E99:E101)</f>
        <v>1362.52223937172</v>
      </c>
    </row>
    <row r="103" s="155" customFormat="true" ht="15.75" hidden="false" customHeight="true" outlineLevel="0" collapsed="false">
      <c r="A103" s="142" t="s">
        <v>247</v>
      </c>
      <c r="B103" s="142"/>
      <c r="C103" s="142"/>
      <c r="D103" s="142"/>
      <c r="E103" s="144" t="n">
        <f aca="false">+E93+E94+E102</f>
        <v>2462.82595101746</v>
      </c>
    </row>
    <row r="104" s="155" customFormat="true" ht="15.75" hidden="false" customHeight="true" outlineLevel="0" collapsed="false">
      <c r="A104" s="197" t="s">
        <v>248</v>
      </c>
      <c r="B104" s="197"/>
      <c r="C104" s="197"/>
      <c r="D104" s="197"/>
      <c r="E104" s="198" t="s">
        <v>139</v>
      </c>
    </row>
    <row r="105" s="155" customFormat="true" ht="15.75" hidden="false" customHeight="true" outlineLevel="0" collapsed="false">
      <c r="A105" s="137" t="s">
        <v>90</v>
      </c>
      <c r="B105" s="182" t="s">
        <v>249</v>
      </c>
      <c r="C105" s="182"/>
      <c r="D105" s="182"/>
      <c r="E105" s="84" t="n">
        <f aca="false">+E25</f>
        <v>2912.81830545455</v>
      </c>
    </row>
    <row r="106" s="155" customFormat="true" ht="15.75" hidden="false" customHeight="true" outlineLevel="0" collapsed="false">
      <c r="A106" s="137" t="s">
        <v>92</v>
      </c>
      <c r="B106" s="182" t="s">
        <v>250</v>
      </c>
      <c r="C106" s="182"/>
      <c r="D106" s="182"/>
      <c r="E106" s="84" t="n">
        <f aca="false">+E54</f>
        <v>2616.22987231994</v>
      </c>
    </row>
    <row r="107" s="155" customFormat="true" ht="15.75" hidden="false" customHeight="true" outlineLevel="0" collapsed="false">
      <c r="A107" s="137" t="s">
        <v>131</v>
      </c>
      <c r="B107" s="182" t="s">
        <v>251</v>
      </c>
      <c r="C107" s="182"/>
      <c r="D107" s="182"/>
      <c r="E107" s="84" t="n">
        <f aca="false">E62</f>
        <v>248.896843732754</v>
      </c>
    </row>
    <row r="108" s="155" customFormat="true" ht="15.75" hidden="false" customHeight="true" outlineLevel="0" collapsed="false">
      <c r="A108" s="137" t="s">
        <v>153</v>
      </c>
      <c r="B108" s="182" t="s">
        <v>252</v>
      </c>
      <c r="C108" s="182"/>
      <c r="D108" s="182"/>
      <c r="E108" s="84" t="n">
        <f aca="false">E82</f>
        <v>161.458289513672</v>
      </c>
    </row>
    <row r="109" s="155" customFormat="true" ht="15.75" hidden="false" customHeight="true" outlineLevel="0" collapsed="false">
      <c r="A109" s="137" t="s">
        <v>94</v>
      </c>
      <c r="B109" s="182" t="s">
        <v>253</v>
      </c>
      <c r="C109" s="182"/>
      <c r="D109" s="182"/>
      <c r="E109" s="84" t="n">
        <f aca="false">E89</f>
        <v>1159.3303125</v>
      </c>
    </row>
    <row r="110" customFormat="false" ht="15.75" hidden="false" customHeight="true" outlineLevel="0" collapsed="false">
      <c r="A110" s="146" t="s">
        <v>254</v>
      </c>
      <c r="B110" s="146"/>
      <c r="C110" s="146"/>
      <c r="D110" s="146"/>
      <c r="E110" s="199" t="n">
        <f aca="false">SUM(E105:E109)</f>
        <v>7098.73362352091</v>
      </c>
    </row>
    <row r="111" customFormat="false" ht="15.75" hidden="false" customHeight="true" outlineLevel="0" collapsed="false">
      <c r="A111" s="137" t="s">
        <v>158</v>
      </c>
      <c r="B111" s="182" t="s">
        <v>255</v>
      </c>
      <c r="C111" s="182"/>
      <c r="D111" s="182"/>
      <c r="E111" s="84" t="n">
        <f aca="false">+E103</f>
        <v>2462.82595101746</v>
      </c>
    </row>
    <row r="112" customFormat="false" ht="16.5" hidden="false" customHeight="true" outlineLevel="0" collapsed="false">
      <c r="A112" s="200" t="s">
        <v>256</v>
      </c>
      <c r="B112" s="200"/>
      <c r="C112" s="200"/>
      <c r="D112" s="200"/>
      <c r="E112" s="201" t="n">
        <f aca="false">+E110+E111</f>
        <v>9561.55957453837</v>
      </c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8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115" zoomScalePageLayoutView="100" workbookViewId="0">
      <selection pane="topLeft" activeCell="I47" activeCellId="0" sqref="I47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9" width="8.71"/>
    <col collapsed="false" customWidth="true" hidden="false" outlineLevel="0" max="2" min="2" style="100" width="70.71"/>
    <col collapsed="false" customWidth="true" hidden="false" outlineLevel="0" max="3" min="3" style="100" width="12.71"/>
    <col collapsed="false" customWidth="true" hidden="false" outlineLevel="0" max="4" min="4" style="101" width="8.71"/>
    <col collapsed="false" customWidth="true" hidden="false" outlineLevel="0" max="5" min="5" style="102" width="12.71"/>
    <col collapsed="false" customWidth="false" hidden="false" outlineLevel="0" max="16384" min="6" style="103" width="9.14"/>
  </cols>
  <sheetData>
    <row r="1" customFormat="false" ht="15.75" hidden="false" customHeight="false" outlineLevel="0" collapsed="false">
      <c r="A1" s="104"/>
      <c r="B1" s="104"/>
      <c r="C1" s="104"/>
      <c r="D1" s="104"/>
      <c r="E1" s="104"/>
    </row>
    <row r="2" s="106" customFormat="true" ht="16.5" hidden="false" customHeight="true" outlineLevel="0" collapsed="false">
      <c r="A2" s="105"/>
      <c r="B2" s="105"/>
      <c r="C2" s="105"/>
      <c r="D2" s="105"/>
      <c r="E2" s="105"/>
    </row>
    <row r="3" s="106" customFormat="true" ht="15.75" hidden="false" customHeight="false" outlineLevel="0" collapsed="false">
      <c r="A3" s="107" t="s">
        <v>127</v>
      </c>
      <c r="B3" s="107"/>
      <c r="C3" s="107"/>
      <c r="D3" s="107"/>
      <c r="E3" s="107"/>
    </row>
    <row r="4" s="106" customFormat="true" ht="15" hidden="false" customHeight="true" outlineLevel="0" collapsed="false">
      <c r="A4" s="108" t="s">
        <v>90</v>
      </c>
      <c r="B4" s="109" t="s">
        <v>128</v>
      </c>
      <c r="C4" s="110" t="n">
        <v>2025</v>
      </c>
      <c r="D4" s="110"/>
      <c r="E4" s="110"/>
    </row>
    <row r="5" s="106" customFormat="true" ht="75" hidden="false" customHeight="true" outlineLevel="0" collapsed="false">
      <c r="A5" s="108" t="s">
        <v>92</v>
      </c>
      <c r="B5" s="109" t="s">
        <v>129</v>
      </c>
      <c r="C5" s="111" t="s">
        <v>130</v>
      </c>
      <c r="D5" s="111"/>
      <c r="E5" s="111"/>
    </row>
    <row r="6" s="106" customFormat="true" ht="15.75" hidden="false" customHeight="true" outlineLevel="0" collapsed="false">
      <c r="A6" s="108" t="s">
        <v>131</v>
      </c>
      <c r="B6" s="109" t="s">
        <v>132</v>
      </c>
      <c r="C6" s="111" t="s">
        <v>133</v>
      </c>
      <c r="D6" s="111"/>
      <c r="E6" s="111"/>
    </row>
    <row r="7" s="106" customFormat="true" ht="15.75" hidden="false" customHeight="false" outlineLevel="0" collapsed="false">
      <c r="A7" s="108"/>
      <c r="B7" s="109" t="s">
        <v>134</v>
      </c>
      <c r="C7" s="111" t="n">
        <v>12</v>
      </c>
      <c r="D7" s="111"/>
      <c r="E7" s="111"/>
    </row>
    <row r="8" s="106" customFormat="true" ht="15.75" hidden="false" customHeight="false" outlineLevel="0" collapsed="false">
      <c r="A8" s="107" t="s">
        <v>135</v>
      </c>
      <c r="B8" s="107"/>
      <c r="C8" s="107"/>
      <c r="D8" s="107"/>
      <c r="E8" s="107"/>
      <c r="M8" s="203"/>
    </row>
    <row r="9" s="106" customFormat="true" ht="15.75" hidden="false" customHeight="false" outlineLevel="0" collapsed="false">
      <c r="A9" s="107" t="s">
        <v>136</v>
      </c>
      <c r="B9" s="107"/>
      <c r="C9" s="107"/>
      <c r="D9" s="107"/>
      <c r="E9" s="107"/>
    </row>
    <row r="10" s="106" customFormat="true" ht="15.75" hidden="false" customHeight="true" outlineLevel="0" collapsed="false">
      <c r="A10" s="107" t="s">
        <v>137</v>
      </c>
      <c r="B10" s="107"/>
      <c r="C10" s="107"/>
      <c r="D10" s="107"/>
      <c r="E10" s="107"/>
    </row>
    <row r="11" s="106" customFormat="true" ht="30" hidden="false" customHeight="true" outlineLevel="0" collapsed="false">
      <c r="A11" s="112" t="s">
        <v>138</v>
      </c>
      <c r="B11" s="112"/>
      <c r="C11" s="112"/>
      <c r="D11" s="112"/>
      <c r="E11" s="113" t="s">
        <v>139</v>
      </c>
    </row>
    <row r="12" s="106" customFormat="true" ht="75" hidden="false" customHeight="true" outlineLevel="0" collapsed="false">
      <c r="A12" s="108" t="n">
        <v>1</v>
      </c>
      <c r="B12" s="114" t="s">
        <v>140</v>
      </c>
      <c r="C12" s="115" t="s">
        <v>141</v>
      </c>
      <c r="D12" s="115"/>
      <c r="E12" s="115"/>
    </row>
    <row r="13" s="106" customFormat="true" ht="30" hidden="false" customHeight="true" outlineLevel="0" collapsed="false">
      <c r="A13" s="108" t="n">
        <v>2</v>
      </c>
      <c r="B13" s="114" t="s">
        <v>142</v>
      </c>
      <c r="C13" s="116" t="n">
        <v>3500.06</v>
      </c>
      <c r="D13" s="116"/>
      <c r="E13" s="116"/>
    </row>
    <row r="14" s="106" customFormat="true" ht="15.75" hidden="false" customHeight="true" outlineLevel="0" collapsed="false">
      <c r="A14" s="108" t="n">
        <v>3</v>
      </c>
      <c r="B14" s="114" t="s">
        <v>143</v>
      </c>
      <c r="C14" s="115" t="s">
        <v>259</v>
      </c>
      <c r="D14" s="115"/>
      <c r="E14" s="115"/>
    </row>
    <row r="15" s="106" customFormat="true" ht="15.75" hidden="false" customHeight="false" outlineLevel="0" collapsed="false">
      <c r="A15" s="108" t="n">
        <v>4</v>
      </c>
      <c r="B15" s="117" t="s">
        <v>145</v>
      </c>
      <c r="C15" s="118" t="n">
        <v>45673</v>
      </c>
      <c r="D15" s="118"/>
      <c r="E15" s="118"/>
    </row>
    <row r="16" s="120" customFormat="true" ht="15.75" hidden="false" customHeight="false" outlineLevel="0" collapsed="false">
      <c r="A16" s="119" t="s">
        <v>146</v>
      </c>
      <c r="B16" s="119"/>
      <c r="C16" s="119"/>
      <c r="D16" s="119"/>
      <c r="E16" s="119"/>
    </row>
    <row r="17" s="120" customFormat="true" ht="15.75" hidden="false" customHeight="true" outlineLevel="0" collapsed="false">
      <c r="A17" s="112" t="n">
        <v>1</v>
      </c>
      <c r="B17" s="121" t="s">
        <v>147</v>
      </c>
      <c r="C17" s="121"/>
      <c r="D17" s="121"/>
      <c r="E17" s="122" t="s">
        <v>139</v>
      </c>
    </row>
    <row r="18" s="106" customFormat="true" ht="15.75" hidden="false" customHeight="true" outlineLevel="0" collapsed="false">
      <c r="A18" s="123" t="s">
        <v>90</v>
      </c>
      <c r="B18" s="124" t="s">
        <v>148</v>
      </c>
      <c r="C18" s="117"/>
      <c r="D18" s="117"/>
      <c r="E18" s="125" t="n">
        <f aca="false">C13</f>
        <v>3500.06</v>
      </c>
    </row>
    <row r="19" s="106" customFormat="true" ht="15.75" hidden="false" customHeight="true" outlineLevel="0" collapsed="false">
      <c r="A19" s="123" t="s">
        <v>92</v>
      </c>
      <c r="B19" s="124" t="s">
        <v>149</v>
      </c>
      <c r="C19" s="126" t="s">
        <v>150</v>
      </c>
      <c r="D19" s="126"/>
      <c r="E19" s="125"/>
    </row>
    <row r="20" s="106" customFormat="true" ht="15.75" hidden="false" customHeight="true" outlineLevel="0" collapsed="false">
      <c r="A20" s="123" t="s">
        <v>131</v>
      </c>
      <c r="B20" s="124" t="s">
        <v>151</v>
      </c>
      <c r="C20" s="127" t="s">
        <v>152</v>
      </c>
      <c r="D20" s="127"/>
      <c r="E20" s="84" t="n">
        <f aca="false">40%*1621</f>
        <v>648.4</v>
      </c>
    </row>
    <row r="21" s="106" customFormat="true" ht="15.75" hidden="false" customHeight="true" outlineLevel="0" collapsed="false">
      <c r="A21" s="123" t="s">
        <v>153</v>
      </c>
      <c r="B21" s="124" t="s">
        <v>154</v>
      </c>
      <c r="C21" s="126" t="s">
        <v>155</v>
      </c>
      <c r="D21" s="126"/>
      <c r="E21" s="125"/>
    </row>
    <row r="22" s="120" customFormat="true" ht="15.75" hidden="false" customHeight="true" outlineLevel="0" collapsed="false">
      <c r="A22" s="123" t="s">
        <v>94</v>
      </c>
      <c r="B22" s="124" t="s">
        <v>156</v>
      </c>
      <c r="C22" s="126" t="s">
        <v>157</v>
      </c>
      <c r="D22" s="126"/>
      <c r="E22" s="125"/>
      <c r="F22" s="106"/>
      <c r="G22" s="106"/>
      <c r="H22" s="106"/>
      <c r="I22" s="106"/>
      <c r="J22" s="106"/>
      <c r="K22" s="106"/>
      <c r="L22" s="106"/>
      <c r="M22" s="106"/>
    </row>
    <row r="23" s="120" customFormat="true" ht="15.75" hidden="false" customHeight="false" outlineLevel="0" collapsed="false">
      <c r="A23" s="123" t="s">
        <v>158</v>
      </c>
      <c r="B23" s="124" t="s">
        <v>159</v>
      </c>
      <c r="C23" s="128"/>
      <c r="D23" s="128"/>
      <c r="E23" s="125"/>
      <c r="F23" s="106"/>
      <c r="G23" s="106"/>
      <c r="H23" s="106"/>
      <c r="I23" s="106"/>
      <c r="J23" s="106"/>
      <c r="K23" s="106"/>
      <c r="L23" s="106"/>
      <c r="M23" s="106"/>
    </row>
    <row r="24" s="106" customFormat="true" ht="15.75" hidden="false" customHeight="true" outlineLevel="0" collapsed="false">
      <c r="A24" s="123" t="s">
        <v>160</v>
      </c>
      <c r="B24" s="129" t="s">
        <v>161</v>
      </c>
      <c r="C24" s="128"/>
      <c r="D24" s="128"/>
      <c r="E24" s="125"/>
    </row>
    <row r="25" s="106" customFormat="true" ht="15.75" hidden="false" customHeight="true" outlineLevel="0" collapsed="false">
      <c r="A25" s="130" t="s">
        <v>162</v>
      </c>
      <c r="B25" s="130"/>
      <c r="C25" s="130"/>
      <c r="D25" s="130"/>
      <c r="E25" s="131" t="n">
        <f aca="false">SUM(E18:E24)</f>
        <v>4148.46</v>
      </c>
      <c r="F25" s="120"/>
      <c r="G25" s="120"/>
      <c r="H25" s="120"/>
      <c r="I25" s="120"/>
      <c r="J25" s="120"/>
      <c r="K25" s="120"/>
      <c r="L25" s="120"/>
      <c r="M25" s="120"/>
    </row>
    <row r="26" s="106" customFormat="true" ht="15.75" hidden="false" customHeight="false" outlineLevel="0" collapsed="false">
      <c r="A26" s="119" t="s">
        <v>163</v>
      </c>
      <c r="B26" s="119"/>
      <c r="C26" s="119"/>
      <c r="D26" s="119"/>
      <c r="E26" s="119"/>
      <c r="F26" s="120"/>
      <c r="G26" s="120"/>
      <c r="H26" s="120"/>
      <c r="I26" s="120"/>
      <c r="J26" s="120"/>
      <c r="K26" s="120"/>
      <c r="L26" s="120"/>
      <c r="M26" s="120"/>
    </row>
    <row r="27" customFormat="false" ht="30" hidden="false" customHeight="true" outlineLevel="0" collapsed="false">
      <c r="A27" s="132" t="n">
        <v>2</v>
      </c>
      <c r="B27" s="133" t="s">
        <v>164</v>
      </c>
      <c r="C27" s="134" t="s">
        <v>165</v>
      </c>
      <c r="D27" s="135"/>
      <c r="E27" s="136" t="s">
        <v>139</v>
      </c>
      <c r="F27" s="106"/>
      <c r="G27" s="106"/>
      <c r="H27" s="106"/>
      <c r="I27" s="106"/>
      <c r="J27" s="106"/>
      <c r="K27" s="106"/>
      <c r="L27" s="106"/>
      <c r="M27" s="106"/>
    </row>
    <row r="28" customFormat="false" ht="15.75" hidden="false" customHeight="false" outlineLevel="0" collapsed="false">
      <c r="A28" s="137" t="s">
        <v>90</v>
      </c>
      <c r="B28" s="138" t="s">
        <v>166</v>
      </c>
      <c r="C28" s="139" t="n">
        <f aca="false">E25</f>
        <v>4148.46</v>
      </c>
      <c r="D28" s="140" t="n">
        <f aca="false">1/12</f>
        <v>0.0833333333333333</v>
      </c>
      <c r="E28" s="84" t="n">
        <f aca="false">(E25)*D28</f>
        <v>345.705</v>
      </c>
      <c r="F28" s="106"/>
      <c r="G28" s="106"/>
      <c r="H28" s="106"/>
      <c r="I28" s="106"/>
      <c r="J28" s="106"/>
      <c r="K28" s="106"/>
      <c r="L28" s="106"/>
      <c r="M28" s="106"/>
    </row>
    <row r="29" customFormat="false" ht="15.75" hidden="false" customHeight="false" outlineLevel="0" collapsed="false">
      <c r="A29" s="137" t="s">
        <v>92</v>
      </c>
      <c r="B29" s="141" t="s">
        <v>167</v>
      </c>
      <c r="C29" s="139" t="n">
        <f aca="false">E25</f>
        <v>4148.46</v>
      </c>
      <c r="D29" s="140" t="n">
        <v>0.1111</v>
      </c>
      <c r="E29" s="84" t="n">
        <f aca="false">(E25)*D29</f>
        <v>460.893906</v>
      </c>
      <c r="F29" s="106"/>
      <c r="G29" s="106"/>
      <c r="H29" s="106"/>
      <c r="I29" s="106"/>
      <c r="J29" s="106"/>
      <c r="K29" s="106"/>
      <c r="L29" s="106"/>
      <c r="M29" s="106"/>
    </row>
    <row r="30" customFormat="false" ht="15.75" hidden="false" customHeight="true" outlineLevel="0" collapsed="false">
      <c r="A30" s="142" t="s">
        <v>168</v>
      </c>
      <c r="B30" s="142"/>
      <c r="C30" s="142"/>
      <c r="D30" s="143" t="n">
        <f aca="false">SUM(D28:D29)</f>
        <v>0.194433333333333</v>
      </c>
      <c r="E30" s="144" t="n">
        <f aca="false">SUM(E28:E29)</f>
        <v>806.598906</v>
      </c>
    </row>
    <row r="31" customFormat="false" ht="30" hidden="false" customHeight="true" outlineLevel="0" collapsed="false">
      <c r="A31" s="145" t="s">
        <v>169</v>
      </c>
      <c r="B31" s="145"/>
      <c r="C31" s="145"/>
      <c r="D31" s="145"/>
      <c r="E31" s="145"/>
    </row>
    <row r="32" customFormat="false" ht="30" hidden="false" customHeight="true" outlineLevel="0" collapsed="false">
      <c r="A32" s="146" t="s">
        <v>170</v>
      </c>
      <c r="B32" s="147" t="s">
        <v>171</v>
      </c>
      <c r="C32" s="148" t="s">
        <v>165</v>
      </c>
      <c r="D32" s="149"/>
      <c r="E32" s="150" t="s">
        <v>139</v>
      </c>
    </row>
    <row r="33" customFormat="false" ht="15.75" hidden="false" customHeight="false" outlineLevel="0" collapsed="false">
      <c r="A33" s="137" t="s">
        <v>90</v>
      </c>
      <c r="B33" s="151" t="s">
        <v>172</v>
      </c>
      <c r="C33" s="139" t="n">
        <f aca="false">E$25+E$30</f>
        <v>4955.058906</v>
      </c>
      <c r="D33" s="140" t="n">
        <v>0.2</v>
      </c>
      <c r="E33" s="84" t="n">
        <f aca="false">C33*D33</f>
        <v>991.0117812</v>
      </c>
    </row>
    <row r="34" customFormat="false" ht="15.75" hidden="false" customHeight="false" outlineLevel="0" collapsed="false">
      <c r="A34" s="137" t="s">
        <v>92</v>
      </c>
      <c r="B34" s="151" t="s">
        <v>173</v>
      </c>
      <c r="C34" s="139" t="n">
        <f aca="false">E$25+E$30</f>
        <v>4955.058906</v>
      </c>
      <c r="D34" s="152" t="n">
        <v>0.025</v>
      </c>
      <c r="E34" s="84" t="n">
        <f aca="false">C34*D34</f>
        <v>123.87647265</v>
      </c>
    </row>
    <row r="35" customFormat="false" ht="35.05" hidden="false" customHeight="false" outlineLevel="0" collapsed="false">
      <c r="A35" s="137" t="s">
        <v>131</v>
      </c>
      <c r="B35" s="153" t="s">
        <v>174</v>
      </c>
      <c r="C35" s="139" t="n">
        <f aca="false">E$25+E$30</f>
        <v>4955.058906</v>
      </c>
      <c r="D35" s="152" t="n">
        <v>0.03</v>
      </c>
      <c r="E35" s="84" t="n">
        <f aca="false">C35*D35</f>
        <v>148.65176718</v>
      </c>
    </row>
    <row r="36" customFormat="false" ht="15.75" hidden="false" customHeight="false" outlineLevel="0" collapsed="false">
      <c r="A36" s="137" t="s">
        <v>153</v>
      </c>
      <c r="B36" s="151" t="s">
        <v>175</v>
      </c>
      <c r="C36" s="139" t="n">
        <f aca="false">E$25+E$30</f>
        <v>4955.058906</v>
      </c>
      <c r="D36" s="152" t="n">
        <v>0.015</v>
      </c>
      <c r="E36" s="84" t="n">
        <f aca="false">C36*D36</f>
        <v>74.32588359</v>
      </c>
    </row>
    <row r="37" customFormat="false" ht="15.75" hidden="false" customHeight="false" outlineLevel="0" collapsed="false">
      <c r="A37" s="137" t="s">
        <v>94</v>
      </c>
      <c r="B37" s="151" t="s">
        <v>176</v>
      </c>
      <c r="C37" s="139" t="n">
        <f aca="false">E$25+E$30</f>
        <v>4955.058906</v>
      </c>
      <c r="D37" s="152" t="n">
        <v>0.01</v>
      </c>
      <c r="E37" s="84" t="n">
        <f aca="false">C37*D37</f>
        <v>49.55058906</v>
      </c>
    </row>
    <row r="38" s="155" customFormat="true" ht="15.75" hidden="false" customHeight="false" outlineLevel="0" collapsed="false">
      <c r="A38" s="137" t="s">
        <v>158</v>
      </c>
      <c r="B38" s="154" t="s">
        <v>177</v>
      </c>
      <c r="C38" s="139" t="n">
        <f aca="false">E$25+E$30</f>
        <v>4955.058906</v>
      </c>
      <c r="D38" s="152" t="n">
        <v>0.006</v>
      </c>
      <c r="E38" s="84" t="n">
        <f aca="false">C38*D38</f>
        <v>29.730353436</v>
      </c>
      <c r="F38" s="103"/>
      <c r="G38" s="103"/>
      <c r="H38" s="103"/>
      <c r="I38" s="103"/>
      <c r="J38" s="103"/>
      <c r="K38" s="103"/>
      <c r="L38" s="103"/>
      <c r="M38" s="103"/>
    </row>
    <row r="39" s="155" customFormat="true" ht="23.85" hidden="false" customHeight="false" outlineLevel="0" collapsed="false">
      <c r="A39" s="137" t="s">
        <v>160</v>
      </c>
      <c r="B39" s="153" t="s">
        <v>178</v>
      </c>
      <c r="C39" s="139" t="n">
        <f aca="false">E$25+E$30</f>
        <v>4955.058906</v>
      </c>
      <c r="D39" s="152" t="n">
        <v>0.002</v>
      </c>
      <c r="E39" s="84" t="n">
        <f aca="false">C39*D39</f>
        <v>9.910117812</v>
      </c>
      <c r="F39" s="103"/>
      <c r="G39" s="103"/>
      <c r="H39" s="103"/>
      <c r="I39" s="103"/>
      <c r="J39" s="103"/>
      <c r="K39" s="103"/>
      <c r="L39" s="103"/>
      <c r="M39" s="103"/>
    </row>
    <row r="40" s="155" customFormat="true" ht="15.75" hidden="false" customHeight="false" outlineLevel="0" collapsed="false">
      <c r="A40" s="137" t="s">
        <v>179</v>
      </c>
      <c r="B40" s="151" t="s">
        <v>180</v>
      </c>
      <c r="C40" s="139" t="n">
        <f aca="false">E$25+E$30</f>
        <v>4955.058906</v>
      </c>
      <c r="D40" s="152" t="n">
        <v>0.08</v>
      </c>
      <c r="E40" s="84" t="n">
        <f aca="false">C40*D40</f>
        <v>396.40471248</v>
      </c>
      <c r="F40" s="103"/>
      <c r="G40" s="103"/>
      <c r="H40" s="103"/>
      <c r="I40" s="103"/>
      <c r="J40" s="103"/>
      <c r="K40" s="103"/>
      <c r="L40" s="103"/>
      <c r="M40" s="103"/>
    </row>
    <row r="41" s="155" customFormat="true" ht="15.75" hidden="false" customHeight="true" outlineLevel="0" collapsed="false">
      <c r="A41" s="142" t="s">
        <v>168</v>
      </c>
      <c r="B41" s="142"/>
      <c r="C41" s="142"/>
      <c r="D41" s="156" t="n">
        <f aca="false">SUM(D33:D40)</f>
        <v>0.368</v>
      </c>
      <c r="E41" s="144" t="n">
        <f aca="false">SUM(E33:E40)</f>
        <v>1823.461677408</v>
      </c>
    </row>
    <row r="42" s="155" customFormat="true" ht="15.75" hidden="false" customHeight="false" outlineLevel="0" collapsed="false">
      <c r="A42" s="157" t="s">
        <v>181</v>
      </c>
      <c r="B42" s="157"/>
      <c r="C42" s="157"/>
      <c r="D42" s="157"/>
      <c r="E42" s="157"/>
    </row>
    <row r="43" s="155" customFormat="true" ht="30" hidden="false" customHeight="true" outlineLevel="0" collapsed="false">
      <c r="A43" s="202" t="s">
        <v>182</v>
      </c>
      <c r="B43" s="159" t="s">
        <v>183</v>
      </c>
      <c r="C43" s="134" t="s">
        <v>165</v>
      </c>
      <c r="D43" s="135"/>
      <c r="E43" s="136" t="s">
        <v>139</v>
      </c>
    </row>
    <row r="44" s="155" customFormat="true" ht="15.75" hidden="false" customHeight="false" outlineLevel="0" collapsed="false">
      <c r="A44" s="160" t="s">
        <v>90</v>
      </c>
      <c r="B44" s="161" t="s">
        <v>184</v>
      </c>
      <c r="C44" s="162"/>
      <c r="D44" s="161"/>
      <c r="E44" s="163" t="n">
        <v>139.72</v>
      </c>
    </row>
    <row r="45" s="155" customFormat="true" ht="15.75" hidden="false" customHeight="false" outlineLevel="0" collapsed="false">
      <c r="A45" s="164" t="s">
        <v>92</v>
      </c>
      <c r="B45" s="129" t="s">
        <v>185</v>
      </c>
      <c r="C45" s="165" t="n">
        <v>626.94</v>
      </c>
      <c r="D45" s="128"/>
      <c r="E45" s="125" t="n">
        <f aca="false">C45-(C45*0.99%)</f>
        <v>620.733294</v>
      </c>
    </row>
    <row r="46" s="155" customFormat="true" ht="15.75" hidden="false" customHeight="false" outlineLevel="0" collapsed="false">
      <c r="A46" s="137" t="s">
        <v>131</v>
      </c>
      <c r="B46" s="138" t="s">
        <v>186</v>
      </c>
      <c r="C46" s="166"/>
      <c r="D46" s="167"/>
      <c r="E46" s="84" t="n">
        <v>0</v>
      </c>
    </row>
    <row r="47" s="155" customFormat="true" ht="23.85" hidden="false" customHeight="false" outlineLevel="0" collapsed="false">
      <c r="A47" s="137" t="s">
        <v>153</v>
      </c>
      <c r="B47" s="138" t="s">
        <v>187</v>
      </c>
      <c r="C47" s="166" t="s">
        <v>260</v>
      </c>
      <c r="D47" s="167"/>
      <c r="E47" s="84" t="n">
        <f aca="false">C13*50%*0.0199*2/12</f>
        <v>5.80426616666667</v>
      </c>
    </row>
    <row r="48" s="155" customFormat="true" ht="15.75" hidden="false" customHeight="false" outlineLevel="0" collapsed="false">
      <c r="A48" s="137" t="s">
        <v>94</v>
      </c>
      <c r="B48" s="168" t="s">
        <v>189</v>
      </c>
      <c r="C48" s="169"/>
      <c r="D48" s="170"/>
      <c r="E48" s="171" t="n">
        <v>5.82</v>
      </c>
    </row>
    <row r="49" s="155" customFormat="true" ht="15.75" hidden="false" customHeight="true" outlineLevel="0" collapsed="false">
      <c r="A49" s="142" t="s">
        <v>190</v>
      </c>
      <c r="B49" s="142"/>
      <c r="C49" s="142"/>
      <c r="D49" s="142"/>
      <c r="E49" s="144" t="n">
        <f aca="false">SUM(E44:E48)</f>
        <v>772.077560166667</v>
      </c>
    </row>
    <row r="50" s="155" customFormat="true" ht="15.75" hidden="false" customHeight="true" outlineLevel="0" collapsed="false">
      <c r="A50" s="157" t="s">
        <v>191</v>
      </c>
      <c r="B50" s="157"/>
      <c r="C50" s="157"/>
      <c r="D50" s="157"/>
      <c r="E50" s="157"/>
    </row>
    <row r="51" s="155" customFormat="true" ht="15.75" hidden="false" customHeight="true" outlineLevel="0" collapsed="false">
      <c r="A51" s="112" t="s">
        <v>170</v>
      </c>
      <c r="B51" s="172" t="s">
        <v>192</v>
      </c>
      <c r="C51" s="173"/>
      <c r="D51" s="173"/>
      <c r="E51" s="174" t="n">
        <f aca="false">E30</f>
        <v>806.598906</v>
      </c>
    </row>
    <row r="52" s="155" customFormat="true" ht="15.75" hidden="false" customHeight="true" outlineLevel="0" collapsed="false">
      <c r="A52" s="112" t="s">
        <v>193</v>
      </c>
      <c r="B52" s="172" t="s">
        <v>194</v>
      </c>
      <c r="C52" s="173"/>
      <c r="D52" s="173"/>
      <c r="E52" s="174" t="n">
        <f aca="false">E41</f>
        <v>1823.461677408</v>
      </c>
    </row>
    <row r="53" s="155" customFormat="true" ht="15.75" hidden="false" customHeight="true" outlineLevel="0" collapsed="false">
      <c r="A53" s="112" t="s">
        <v>182</v>
      </c>
      <c r="B53" s="172" t="s">
        <v>195</v>
      </c>
      <c r="C53" s="173"/>
      <c r="D53" s="173"/>
      <c r="E53" s="174" t="n">
        <f aca="false">E49</f>
        <v>772.077560166667</v>
      </c>
    </row>
    <row r="54" s="155" customFormat="true" ht="15.75" hidden="false" customHeight="true" outlineLevel="0" collapsed="false">
      <c r="A54" s="130" t="s">
        <v>196</v>
      </c>
      <c r="B54" s="130"/>
      <c r="C54" s="130"/>
      <c r="D54" s="130"/>
      <c r="E54" s="131" t="n">
        <f aca="false">SUM(E51:E53)</f>
        <v>3402.13814357467</v>
      </c>
    </row>
    <row r="55" s="155" customFormat="true" ht="15.75" hidden="false" customHeight="true" outlineLevel="0" collapsed="false">
      <c r="A55" s="119" t="s">
        <v>197</v>
      </c>
      <c r="B55" s="119"/>
      <c r="C55" s="119"/>
      <c r="D55" s="119"/>
      <c r="E55" s="119"/>
    </row>
    <row r="56" s="155" customFormat="true" ht="30" hidden="false" customHeight="true" outlineLevel="0" collapsed="false">
      <c r="A56" s="146" t="s">
        <v>198</v>
      </c>
      <c r="B56" s="147" t="s">
        <v>199</v>
      </c>
      <c r="C56" s="175" t="s">
        <v>165</v>
      </c>
      <c r="D56" s="63"/>
      <c r="E56" s="150" t="s">
        <v>139</v>
      </c>
    </row>
    <row r="57" s="155" customFormat="true" ht="15.75" hidden="false" customHeight="true" outlineLevel="0" collapsed="false">
      <c r="A57" s="137" t="s">
        <v>90</v>
      </c>
      <c r="B57" s="138" t="s">
        <v>200</v>
      </c>
      <c r="C57" s="176" t="n">
        <f aca="false">E$25+E$30</f>
        <v>4955.058906</v>
      </c>
      <c r="D57" s="140" t="n">
        <v>0.0046</v>
      </c>
      <c r="E57" s="84" t="n">
        <f aca="false">C57*D57</f>
        <v>22.7932709676</v>
      </c>
    </row>
    <row r="58" s="155" customFormat="true" ht="15.75" hidden="false" customHeight="true" outlineLevel="0" collapsed="false">
      <c r="A58" s="137" t="s">
        <v>92</v>
      </c>
      <c r="B58" s="138" t="s">
        <v>201</v>
      </c>
      <c r="C58" s="176" t="n">
        <f aca="false">E$25+E$30</f>
        <v>4955.058906</v>
      </c>
      <c r="D58" s="140" t="n">
        <v>0.0004</v>
      </c>
      <c r="E58" s="84" t="n">
        <f aca="false">C58*D58</f>
        <v>1.9820235624</v>
      </c>
    </row>
    <row r="59" s="155" customFormat="true" ht="15.75" hidden="false" customHeight="true" outlineLevel="0" collapsed="false">
      <c r="A59" s="137" t="s">
        <v>131</v>
      </c>
      <c r="B59" s="138" t="s">
        <v>202</v>
      </c>
      <c r="C59" s="176" t="n">
        <f aca="false">E$25+E$30</f>
        <v>4955.058906</v>
      </c>
      <c r="D59" s="140" t="n">
        <v>0.0194</v>
      </c>
      <c r="E59" s="84" t="n">
        <f aca="false">C59*D59</f>
        <v>96.1281427764</v>
      </c>
    </row>
    <row r="60" s="155" customFormat="true" ht="30" hidden="false" customHeight="true" outlineLevel="0" collapsed="false">
      <c r="A60" s="137" t="s">
        <v>153</v>
      </c>
      <c r="B60" s="149" t="s">
        <v>203</v>
      </c>
      <c r="C60" s="176" t="n">
        <f aca="false">E$25+E$30</f>
        <v>4955.058906</v>
      </c>
      <c r="D60" s="177" t="n">
        <f aca="false">D41*D59</f>
        <v>0.0071392</v>
      </c>
      <c r="E60" s="84" t="n">
        <f aca="false">C60*D60</f>
        <v>35.3751565417152</v>
      </c>
    </row>
    <row r="61" s="155" customFormat="true" ht="32.25" hidden="false" customHeight="true" outlineLevel="0" collapsed="false">
      <c r="A61" s="137" t="s">
        <v>94</v>
      </c>
      <c r="B61" s="138" t="s">
        <v>204</v>
      </c>
      <c r="C61" s="176" t="n">
        <f aca="false">E$25+E$30</f>
        <v>4955.058906</v>
      </c>
      <c r="D61" s="140" t="n">
        <v>0.04</v>
      </c>
      <c r="E61" s="84" t="n">
        <f aca="false">C61*D61</f>
        <v>198.20235624</v>
      </c>
    </row>
    <row r="62" s="155" customFormat="true" ht="15.75" hidden="false" customHeight="true" outlineLevel="0" collapsed="false">
      <c r="A62" s="130" t="s">
        <v>205</v>
      </c>
      <c r="B62" s="130"/>
      <c r="C62" s="130"/>
      <c r="D62" s="178" t="n">
        <f aca="false">SUM(D57:D61)</f>
        <v>0.0715392</v>
      </c>
      <c r="E62" s="131" t="n">
        <f aca="false">SUM(E57:E61)</f>
        <v>354.480950088115</v>
      </c>
    </row>
    <row r="63" s="155" customFormat="true" ht="15.75" hidden="false" customHeight="true" outlineLevel="0" collapsed="false">
      <c r="A63" s="119" t="s">
        <v>206</v>
      </c>
      <c r="B63" s="119"/>
      <c r="C63" s="119"/>
      <c r="D63" s="119"/>
      <c r="E63" s="119"/>
    </row>
    <row r="64" s="155" customFormat="true" ht="30" hidden="false" customHeight="true" outlineLevel="0" collapsed="false">
      <c r="A64" s="146" t="s">
        <v>207</v>
      </c>
      <c r="B64" s="179" t="s">
        <v>208</v>
      </c>
      <c r="C64" s="175" t="s">
        <v>165</v>
      </c>
      <c r="D64" s="180"/>
      <c r="E64" s="150" t="s">
        <v>139</v>
      </c>
    </row>
    <row r="65" s="155" customFormat="true" ht="15.75" hidden="false" customHeight="false" outlineLevel="0" collapsed="false">
      <c r="A65" s="137" t="s">
        <v>90</v>
      </c>
      <c r="B65" s="138" t="s">
        <v>209</v>
      </c>
      <c r="C65" s="181" t="n">
        <f aca="false">E$25+E$54+E$62+E85</f>
        <v>7943.70409366278</v>
      </c>
      <c r="D65" s="140" t="n">
        <f aca="false">D29/12</f>
        <v>0.00925833333333333</v>
      </c>
      <c r="E65" s="84" t="n">
        <f aca="false">C65*D65</f>
        <v>73.5454604004946</v>
      </c>
    </row>
    <row r="66" s="155" customFormat="true" ht="15.75" hidden="false" customHeight="false" outlineLevel="0" collapsed="false">
      <c r="A66" s="137" t="s">
        <v>92</v>
      </c>
      <c r="B66" s="138" t="s">
        <v>210</v>
      </c>
      <c r="C66" s="181" t="n">
        <f aca="false">E$25+E$54+E$62+E85</f>
        <v>7943.70409366278</v>
      </c>
      <c r="D66" s="140" t="n">
        <v>0.0139</v>
      </c>
      <c r="E66" s="84" t="n">
        <f aca="false">C66*D66</f>
        <v>110.417486901913</v>
      </c>
    </row>
    <row r="67" s="155" customFormat="true" ht="15.75" hidden="false" customHeight="false" outlineLevel="0" collapsed="false">
      <c r="A67" s="137" t="s">
        <v>131</v>
      </c>
      <c r="B67" s="138" t="s">
        <v>211</v>
      </c>
      <c r="C67" s="181" t="n">
        <f aca="false">E$25+E$54+E$62+E85</f>
        <v>7943.70409366278</v>
      </c>
      <c r="D67" s="140" t="n">
        <v>0.0013</v>
      </c>
      <c r="E67" s="84" t="n">
        <f aca="false">C67*D67</f>
        <v>10.3268153217616</v>
      </c>
    </row>
    <row r="68" s="155" customFormat="true" ht="15.75" hidden="false" customHeight="false" outlineLevel="0" collapsed="false">
      <c r="A68" s="137" t="s">
        <v>153</v>
      </c>
      <c r="B68" s="138" t="s">
        <v>212</v>
      </c>
      <c r="C68" s="181" t="n">
        <f aca="false">E$25+E$54+E$62+E85</f>
        <v>7943.70409366278</v>
      </c>
      <c r="D68" s="140" t="n">
        <v>0.0002</v>
      </c>
      <c r="E68" s="84" t="n">
        <f aca="false">C68*D68</f>
        <v>1.58874081873256</v>
      </c>
    </row>
    <row r="69" s="155" customFormat="true" ht="15.75" hidden="false" customHeight="false" outlineLevel="0" collapsed="false">
      <c r="A69" s="137" t="s">
        <v>94</v>
      </c>
      <c r="B69" s="138" t="s">
        <v>213</v>
      </c>
      <c r="C69" s="181" t="n">
        <f aca="false">E$25+E$54+E$62+E85</f>
        <v>7943.70409366278</v>
      </c>
      <c r="D69" s="140" t="n">
        <v>0.0028</v>
      </c>
      <c r="E69" s="84" t="n">
        <f aca="false">C69*D69</f>
        <v>22.2423714622558</v>
      </c>
    </row>
    <row r="70" s="155" customFormat="true" ht="15.75" hidden="false" customHeight="false" outlineLevel="0" collapsed="false">
      <c r="A70" s="137" t="s">
        <v>158</v>
      </c>
      <c r="B70" s="138" t="s">
        <v>214</v>
      </c>
      <c r="C70" s="181" t="n">
        <f aca="false">E$25+E$54+E$62+E85</f>
        <v>7943.70409366278</v>
      </c>
      <c r="D70" s="140" t="n">
        <v>0.0003</v>
      </c>
      <c r="E70" s="84" t="n">
        <f aca="false">C70*D70</f>
        <v>2.38311122809883</v>
      </c>
    </row>
    <row r="71" s="155" customFormat="true" ht="15.75" hidden="false" customHeight="false" outlineLevel="0" collapsed="false">
      <c r="A71" s="137" t="s">
        <v>160</v>
      </c>
      <c r="B71" s="182" t="s">
        <v>215</v>
      </c>
      <c r="C71" s="181" t="n">
        <f aca="false">E$25+E$54+E$62+E85</f>
        <v>7943.70409366278</v>
      </c>
      <c r="D71" s="140" t="n">
        <v>0</v>
      </c>
      <c r="E71" s="84" t="n">
        <f aca="false">C71*D71</f>
        <v>0</v>
      </c>
    </row>
    <row r="72" s="155" customFormat="true" ht="15.75" hidden="false" customHeight="true" outlineLevel="0" collapsed="false">
      <c r="A72" s="142" t="s">
        <v>216</v>
      </c>
      <c r="B72" s="142"/>
      <c r="C72" s="142"/>
      <c r="D72" s="183" t="n">
        <f aca="false">SUM(D65:D71)</f>
        <v>0.0277583333333333</v>
      </c>
      <c r="E72" s="144" t="n">
        <f aca="false">SUM(E65:E71)</f>
        <v>220.503986133256</v>
      </c>
    </row>
    <row r="73" s="155" customFormat="true" ht="15.75" hidden="false" customHeight="true" outlineLevel="0" collapsed="false">
      <c r="A73" s="157" t="s">
        <v>217</v>
      </c>
      <c r="B73" s="157"/>
      <c r="C73" s="157"/>
      <c r="D73" s="157"/>
      <c r="E73" s="157"/>
    </row>
    <row r="74" s="155" customFormat="true" ht="15.75" hidden="false" customHeight="false" outlineLevel="0" collapsed="false">
      <c r="A74" s="146"/>
      <c r="B74" s="147" t="s">
        <v>217</v>
      </c>
      <c r="C74" s="149"/>
      <c r="D74" s="149"/>
      <c r="E74" s="150" t="s">
        <v>139</v>
      </c>
    </row>
    <row r="75" s="155" customFormat="true" ht="15.75" hidden="false" customHeight="true" outlineLevel="0" collapsed="false">
      <c r="A75" s="137" t="s">
        <v>90</v>
      </c>
      <c r="B75" s="138" t="s">
        <v>218</v>
      </c>
      <c r="C75" s="166"/>
      <c r="D75" s="140" t="n">
        <v>0</v>
      </c>
      <c r="E75" s="84" t="n">
        <f aca="false">(E$25+E$54+E$62)*D75</f>
        <v>0</v>
      </c>
    </row>
    <row r="76" s="155" customFormat="true" ht="15.75" hidden="false" customHeight="true" outlineLevel="0" collapsed="false">
      <c r="A76" s="142" t="s">
        <v>219</v>
      </c>
      <c r="B76" s="142"/>
      <c r="C76" s="142"/>
      <c r="D76" s="143" t="n">
        <f aca="false">SUM(D75)</f>
        <v>0</v>
      </c>
      <c r="E76" s="144" t="n">
        <f aca="false">SUM(E75)</f>
        <v>0</v>
      </c>
    </row>
    <row r="77" s="155" customFormat="true" ht="15.75" hidden="false" customHeight="true" outlineLevel="0" collapsed="false">
      <c r="A77" s="184" t="s">
        <v>220</v>
      </c>
      <c r="B77" s="184"/>
      <c r="C77" s="184"/>
      <c r="D77" s="184"/>
      <c r="E77" s="184"/>
    </row>
    <row r="78" s="155" customFormat="true" ht="15.75" hidden="false" customHeight="true" outlineLevel="0" collapsed="false">
      <c r="A78" s="146" t="n">
        <v>4</v>
      </c>
      <c r="B78" s="185" t="s">
        <v>221</v>
      </c>
      <c r="C78" s="186"/>
      <c r="D78" s="187"/>
      <c r="E78" s="150" t="s">
        <v>139</v>
      </c>
    </row>
    <row r="79" s="155" customFormat="true" ht="15.75" hidden="false" customHeight="true" outlineLevel="0" collapsed="false">
      <c r="A79" s="137" t="s">
        <v>207</v>
      </c>
      <c r="B79" s="138" t="s">
        <v>208</v>
      </c>
      <c r="C79" s="186"/>
      <c r="D79" s="140" t="n">
        <f aca="false">D72</f>
        <v>0.0277583333333333</v>
      </c>
      <c r="E79" s="84" t="n">
        <f aca="false">E72</f>
        <v>220.503986133256</v>
      </c>
    </row>
    <row r="80" s="155" customFormat="true" ht="15.75" hidden="false" customHeight="true" outlineLevel="0" collapsed="false">
      <c r="A80" s="137" t="s">
        <v>222</v>
      </c>
      <c r="B80" s="138" t="s">
        <v>217</v>
      </c>
      <c r="C80" s="186"/>
      <c r="D80" s="140" t="n">
        <v>0</v>
      </c>
      <c r="E80" s="84" t="n">
        <f aca="false">(D$25+D$53+D$61)*D80</f>
        <v>0</v>
      </c>
    </row>
    <row r="81" s="155" customFormat="true" ht="15.75" hidden="false" customHeight="true" outlineLevel="0" collapsed="false">
      <c r="A81" s="142" t="s">
        <v>168</v>
      </c>
      <c r="B81" s="142"/>
      <c r="C81" s="142"/>
      <c r="D81" s="143" t="n">
        <f aca="false">SUM(D79:D80)</f>
        <v>0.0277583333333333</v>
      </c>
      <c r="E81" s="144" t="n">
        <f aca="false">SUM(E79:E80)</f>
        <v>220.503986133256</v>
      </c>
    </row>
    <row r="82" s="155" customFormat="true" ht="15.75" hidden="false" customHeight="true" outlineLevel="0" collapsed="false">
      <c r="A82" s="130" t="s">
        <v>223</v>
      </c>
      <c r="B82" s="130"/>
      <c r="C82" s="130"/>
      <c r="D82" s="130"/>
      <c r="E82" s="131" t="n">
        <f aca="false">SUM(E72+E76)</f>
        <v>220.503986133256</v>
      </c>
    </row>
    <row r="83" s="155" customFormat="true" ht="15.75" hidden="false" customHeight="true" outlineLevel="0" collapsed="false">
      <c r="A83" s="119" t="s">
        <v>224</v>
      </c>
      <c r="B83" s="119"/>
      <c r="C83" s="119"/>
      <c r="D83" s="119"/>
      <c r="E83" s="119"/>
    </row>
    <row r="84" s="155" customFormat="true" ht="15.75" hidden="false" customHeight="true" outlineLevel="0" collapsed="false">
      <c r="A84" s="146" t="n">
        <v>5</v>
      </c>
      <c r="B84" s="147" t="s">
        <v>225</v>
      </c>
      <c r="C84" s="149"/>
      <c r="D84" s="149"/>
      <c r="E84" s="150" t="s">
        <v>139</v>
      </c>
    </row>
    <row r="85" s="155" customFormat="true" ht="15.75" hidden="false" customHeight="true" outlineLevel="0" collapsed="false">
      <c r="A85" s="164" t="s">
        <v>90</v>
      </c>
      <c r="B85" s="129" t="s">
        <v>226</v>
      </c>
      <c r="C85" s="188"/>
      <c r="D85" s="189"/>
      <c r="E85" s="84" t="n">
        <f aca="false">'EPI''s e Uniformes'!H7</f>
        <v>38.625</v>
      </c>
    </row>
    <row r="86" s="155" customFormat="true" ht="15.75" hidden="false" customHeight="true" outlineLevel="0" collapsed="false">
      <c r="A86" s="164" t="s">
        <v>92</v>
      </c>
      <c r="B86" s="129" t="s">
        <v>227</v>
      </c>
      <c r="C86" s="188"/>
      <c r="D86" s="189"/>
      <c r="E86" s="84" t="n">
        <v>0</v>
      </c>
    </row>
    <row r="87" s="155" customFormat="true" ht="15.75" hidden="false" customHeight="true" outlineLevel="0" collapsed="false">
      <c r="A87" s="164" t="s">
        <v>131</v>
      </c>
      <c r="B87" s="129" t="s">
        <v>228</v>
      </c>
      <c r="C87" s="188"/>
      <c r="D87" s="189"/>
      <c r="E87" s="84" t="n">
        <v>0</v>
      </c>
    </row>
    <row r="88" s="155" customFormat="true" ht="15.75" hidden="false" customHeight="true" outlineLevel="0" collapsed="false">
      <c r="A88" s="164" t="s">
        <v>153</v>
      </c>
      <c r="B88" s="129" t="s">
        <v>229</v>
      </c>
      <c r="C88" s="188"/>
      <c r="D88" s="189"/>
      <c r="E88" s="84" t="n">
        <v>0</v>
      </c>
    </row>
    <row r="89" s="155" customFormat="true" ht="15.75" hidden="false" customHeight="true" outlineLevel="0" collapsed="false">
      <c r="A89" s="130" t="s">
        <v>230</v>
      </c>
      <c r="B89" s="130"/>
      <c r="C89" s="130"/>
      <c r="D89" s="130"/>
      <c r="E89" s="131" t="n">
        <f aca="false">SUM(E85:E88)</f>
        <v>38.625</v>
      </c>
    </row>
    <row r="90" s="155" customFormat="true" ht="23.25" hidden="false" customHeight="true" outlineLevel="0" collapsed="false">
      <c r="A90" s="132" t="s">
        <v>231</v>
      </c>
      <c r="B90" s="132"/>
      <c r="C90" s="132"/>
      <c r="D90" s="132"/>
      <c r="E90" s="190" t="n">
        <f aca="false">E89+E82+E62+E54+E25</f>
        <v>8164.20807979604</v>
      </c>
    </row>
    <row r="91" s="155" customFormat="true" ht="19.5" hidden="false" customHeight="true" outlineLevel="0" collapsed="false">
      <c r="A91" s="119" t="s">
        <v>232</v>
      </c>
      <c r="B91" s="119"/>
      <c r="C91" s="119"/>
      <c r="D91" s="119"/>
      <c r="E91" s="119"/>
    </row>
    <row r="92" s="155" customFormat="true" ht="30" hidden="false" customHeight="true" outlineLevel="0" collapsed="false">
      <c r="A92" s="146" t="n">
        <v>6</v>
      </c>
      <c r="B92" s="147" t="s">
        <v>233</v>
      </c>
      <c r="C92" s="148" t="s">
        <v>165</v>
      </c>
      <c r="D92" s="148"/>
      <c r="E92" s="150" t="s">
        <v>139</v>
      </c>
    </row>
    <row r="93" s="155" customFormat="true" ht="15.75" hidden="false" customHeight="false" outlineLevel="0" collapsed="false">
      <c r="A93" s="137" t="s">
        <v>90</v>
      </c>
      <c r="B93" s="138" t="s">
        <v>234</v>
      </c>
      <c r="C93" s="191" t="n">
        <f aca="false">E90</f>
        <v>8164.20807979604</v>
      </c>
      <c r="D93" s="140" t="n">
        <v>0.05</v>
      </c>
      <c r="E93" s="84" t="n">
        <f aca="false">+C93*D93</f>
        <v>408.210403989802</v>
      </c>
    </row>
    <row r="94" s="155" customFormat="true" ht="15.75" hidden="false" customHeight="false" outlineLevel="0" collapsed="false">
      <c r="A94" s="137" t="s">
        <v>92</v>
      </c>
      <c r="B94" s="138" t="s">
        <v>235</v>
      </c>
      <c r="C94" s="191" t="n">
        <f aca="false">E90+E93</f>
        <v>8572.41848378584</v>
      </c>
      <c r="D94" s="140" t="n">
        <v>0.1</v>
      </c>
      <c r="E94" s="84" t="n">
        <f aca="false">D94*C94</f>
        <v>857.241848378584</v>
      </c>
    </row>
    <row r="95" s="155" customFormat="true" ht="30.75" hidden="false" customHeight="true" outlineLevel="0" collapsed="false">
      <c r="A95" s="137"/>
      <c r="B95" s="138" t="s">
        <v>236</v>
      </c>
      <c r="C95" s="138"/>
      <c r="D95" s="140" t="n">
        <f aca="false">1-D102</f>
        <v>0.8575</v>
      </c>
      <c r="E95" s="84" t="n">
        <f aca="false">+E90+E93+E94</f>
        <v>9429.66033216443</v>
      </c>
    </row>
    <row r="96" s="155" customFormat="true" ht="15.75" hidden="false" customHeight="false" outlineLevel="0" collapsed="false">
      <c r="A96" s="137"/>
      <c r="B96" s="182"/>
      <c r="C96" s="192"/>
      <c r="D96" s="83"/>
      <c r="E96" s="193" t="n">
        <f aca="false">+E95/D95</f>
        <v>10996.688434011</v>
      </c>
    </row>
    <row r="97" s="155" customFormat="true" ht="15.75" hidden="false" customHeight="false" outlineLevel="0" collapsed="false">
      <c r="A97" s="137" t="s">
        <v>131</v>
      </c>
      <c r="B97" s="182" t="s">
        <v>237</v>
      </c>
      <c r="C97" s="192"/>
      <c r="D97" s="194" t="n">
        <f aca="false">D99+D100+D101</f>
        <v>0.1425</v>
      </c>
      <c r="E97" s="193"/>
    </row>
    <row r="98" s="155" customFormat="true" ht="15.75" hidden="false" customHeight="false" outlineLevel="0" collapsed="false">
      <c r="A98" s="137" t="s">
        <v>238</v>
      </c>
      <c r="B98" s="182" t="s">
        <v>239</v>
      </c>
      <c r="C98" s="182"/>
      <c r="D98" s="194" t="n">
        <f aca="false">D99+D100</f>
        <v>0.0925</v>
      </c>
      <c r="E98" s="84"/>
    </row>
    <row r="99" s="155" customFormat="true" ht="15.75" hidden="false" customHeight="false" outlineLevel="0" collapsed="false">
      <c r="A99" s="137" t="s">
        <v>240</v>
      </c>
      <c r="B99" s="138" t="s">
        <v>241</v>
      </c>
      <c r="C99" s="82" t="n">
        <f aca="false">E96</f>
        <v>10996.688434011</v>
      </c>
      <c r="D99" s="140" t="n">
        <v>0.0165</v>
      </c>
      <c r="E99" s="84" t="n">
        <f aca="false">C99*D99</f>
        <v>181.445359161181</v>
      </c>
    </row>
    <row r="100" s="155" customFormat="true" ht="15.75" hidden="false" customHeight="false" outlineLevel="0" collapsed="false">
      <c r="A100" s="137" t="s">
        <v>242</v>
      </c>
      <c r="B100" s="138" t="s">
        <v>243</v>
      </c>
      <c r="C100" s="82" t="n">
        <f aca="false">E96</f>
        <v>10996.688434011</v>
      </c>
      <c r="D100" s="140" t="n">
        <v>0.076</v>
      </c>
      <c r="E100" s="84" t="n">
        <f aca="false">+C100*D100</f>
        <v>835.748320984835</v>
      </c>
    </row>
    <row r="101" s="155" customFormat="true" ht="15.75" hidden="false" customHeight="false" outlineLevel="0" collapsed="false">
      <c r="A101" s="137" t="s">
        <v>244</v>
      </c>
      <c r="B101" s="138" t="s">
        <v>245</v>
      </c>
      <c r="C101" s="82" t="n">
        <f aca="false">E96</f>
        <v>10996.688434011</v>
      </c>
      <c r="D101" s="140" t="n">
        <v>0.05</v>
      </c>
      <c r="E101" s="84" t="n">
        <f aca="false">C101*D101</f>
        <v>549.83442170055</v>
      </c>
    </row>
    <row r="102" s="155" customFormat="true" ht="15.75" hidden="false" customHeight="false" outlineLevel="0" collapsed="false">
      <c r="A102" s="146"/>
      <c r="B102" s="195" t="s">
        <v>246</v>
      </c>
      <c r="C102" s="195"/>
      <c r="D102" s="196" t="n">
        <f aca="false">D97</f>
        <v>0.1425</v>
      </c>
      <c r="E102" s="84" t="n">
        <f aca="false">SUM(E99:E101)</f>
        <v>1567.02810184657</v>
      </c>
    </row>
    <row r="103" s="155" customFormat="true" ht="15.75" hidden="false" customHeight="true" outlineLevel="0" collapsed="false">
      <c r="A103" s="142" t="s">
        <v>247</v>
      </c>
      <c r="B103" s="142"/>
      <c r="C103" s="142"/>
      <c r="D103" s="142"/>
      <c r="E103" s="144" t="n">
        <f aca="false">+E93+E94+E102</f>
        <v>2832.48035421495</v>
      </c>
    </row>
    <row r="104" s="155" customFormat="true" ht="15.75" hidden="false" customHeight="true" outlineLevel="0" collapsed="false">
      <c r="A104" s="197" t="s">
        <v>248</v>
      </c>
      <c r="B104" s="197"/>
      <c r="C104" s="197"/>
      <c r="D104" s="197"/>
      <c r="E104" s="198" t="s">
        <v>139</v>
      </c>
    </row>
    <row r="105" s="155" customFormat="true" ht="15.75" hidden="false" customHeight="true" outlineLevel="0" collapsed="false">
      <c r="A105" s="137" t="s">
        <v>90</v>
      </c>
      <c r="B105" s="182" t="s">
        <v>249</v>
      </c>
      <c r="C105" s="182"/>
      <c r="D105" s="182"/>
      <c r="E105" s="84" t="n">
        <f aca="false">+E25</f>
        <v>4148.46</v>
      </c>
    </row>
    <row r="106" s="155" customFormat="true" ht="15.75" hidden="false" customHeight="true" outlineLevel="0" collapsed="false">
      <c r="A106" s="137" t="s">
        <v>92</v>
      </c>
      <c r="B106" s="182" t="s">
        <v>250</v>
      </c>
      <c r="C106" s="182"/>
      <c r="D106" s="182"/>
      <c r="E106" s="84" t="n">
        <f aca="false">+E54</f>
        <v>3402.13814357467</v>
      </c>
    </row>
    <row r="107" s="155" customFormat="true" ht="15.75" hidden="false" customHeight="true" outlineLevel="0" collapsed="false">
      <c r="A107" s="137" t="s">
        <v>131</v>
      </c>
      <c r="B107" s="182" t="s">
        <v>251</v>
      </c>
      <c r="C107" s="182"/>
      <c r="D107" s="182"/>
      <c r="E107" s="84" t="n">
        <f aca="false">E62</f>
        <v>354.480950088115</v>
      </c>
    </row>
    <row r="108" s="155" customFormat="true" ht="15.75" hidden="false" customHeight="true" outlineLevel="0" collapsed="false">
      <c r="A108" s="137" t="s">
        <v>153</v>
      </c>
      <c r="B108" s="182" t="s">
        <v>252</v>
      </c>
      <c r="C108" s="182"/>
      <c r="D108" s="182"/>
      <c r="E108" s="84" t="n">
        <f aca="false">E82</f>
        <v>220.503986133256</v>
      </c>
    </row>
    <row r="109" s="155" customFormat="true" ht="15.75" hidden="false" customHeight="true" outlineLevel="0" collapsed="false">
      <c r="A109" s="137" t="s">
        <v>94</v>
      </c>
      <c r="B109" s="182" t="s">
        <v>253</v>
      </c>
      <c r="C109" s="182"/>
      <c r="D109" s="182"/>
      <c r="E109" s="84" t="n">
        <f aca="false">E89</f>
        <v>38.625</v>
      </c>
    </row>
    <row r="110" customFormat="false" ht="15.75" hidden="false" customHeight="true" outlineLevel="0" collapsed="false">
      <c r="A110" s="146" t="s">
        <v>254</v>
      </c>
      <c r="B110" s="146"/>
      <c r="C110" s="146"/>
      <c r="D110" s="146"/>
      <c r="E110" s="199" t="n">
        <f aca="false">SUM(E105:E109)</f>
        <v>8164.20807979604</v>
      </c>
      <c r="F110" s="155"/>
      <c r="G110" s="155"/>
      <c r="H110" s="155"/>
      <c r="I110" s="155"/>
      <c r="J110" s="155"/>
      <c r="K110" s="155"/>
      <c r="L110" s="155"/>
      <c r="M110" s="155"/>
    </row>
    <row r="111" customFormat="false" ht="15.75" hidden="false" customHeight="true" outlineLevel="0" collapsed="false">
      <c r="A111" s="137" t="s">
        <v>158</v>
      </c>
      <c r="B111" s="182" t="s">
        <v>255</v>
      </c>
      <c r="C111" s="182"/>
      <c r="D111" s="182"/>
      <c r="E111" s="84" t="n">
        <f aca="false">+E103</f>
        <v>2832.48035421495</v>
      </c>
      <c r="F111" s="155"/>
      <c r="G111" s="155"/>
      <c r="H111" s="155"/>
      <c r="I111" s="155"/>
      <c r="J111" s="155"/>
      <c r="K111" s="155"/>
      <c r="L111" s="155"/>
      <c r="M111" s="155"/>
    </row>
    <row r="112" customFormat="false" ht="16.5" hidden="false" customHeight="true" outlineLevel="0" collapsed="false">
      <c r="A112" s="200" t="s">
        <v>256</v>
      </c>
      <c r="B112" s="200"/>
      <c r="C112" s="200"/>
      <c r="D112" s="200"/>
      <c r="E112" s="201" t="n">
        <f aca="false">+E110+E111</f>
        <v>10996.688434011</v>
      </c>
      <c r="F112" s="155"/>
      <c r="G112" s="155"/>
      <c r="H112" s="155"/>
      <c r="I112" s="155"/>
      <c r="J112" s="155"/>
      <c r="K112" s="155"/>
      <c r="L112" s="155"/>
      <c r="M112" s="155"/>
    </row>
    <row r="113" customFormat="false" ht="15.75" hidden="false" customHeight="false" outlineLevel="0" collapsed="false">
      <c r="B113" s="204"/>
    </row>
    <row r="118" customFormat="false" ht="15.75" hidden="false" customHeight="false" outlineLevel="0" collapsed="false">
      <c r="B118" s="103"/>
      <c r="C118" s="103"/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8"/>
  <sheetViews>
    <sheetView showFormulas="false" showGridLines="true" showRowColHeaders="true" showZeros="true" rightToLeft="false" tabSelected="false" showOutlineSymbols="true" defaultGridColor="true" view="pageBreakPreview" topLeftCell="A37" colorId="64" zoomScale="100" zoomScaleNormal="115" zoomScalePageLayoutView="100" workbookViewId="0">
      <selection pane="topLeft" activeCell="I49" activeCellId="0" sqref="I49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9" width="8.71"/>
    <col collapsed="false" customWidth="true" hidden="false" outlineLevel="0" max="2" min="2" style="100" width="70.71"/>
    <col collapsed="false" customWidth="true" hidden="false" outlineLevel="0" max="3" min="3" style="100" width="12.71"/>
    <col collapsed="false" customWidth="true" hidden="false" outlineLevel="0" max="4" min="4" style="101" width="8.71"/>
    <col collapsed="false" customWidth="true" hidden="false" outlineLevel="0" max="5" min="5" style="102" width="12.71"/>
    <col collapsed="false" customWidth="false" hidden="false" outlineLevel="0" max="16384" min="6" style="103" width="9.14"/>
  </cols>
  <sheetData>
    <row r="1" customFormat="false" ht="15.75" hidden="false" customHeight="false" outlineLevel="0" collapsed="false">
      <c r="A1" s="104"/>
      <c r="B1" s="104"/>
      <c r="C1" s="104"/>
      <c r="D1" s="104"/>
      <c r="E1" s="104"/>
    </row>
    <row r="2" s="106" customFormat="true" ht="16.5" hidden="false" customHeight="true" outlineLevel="0" collapsed="false">
      <c r="A2" s="105"/>
      <c r="B2" s="105"/>
      <c r="C2" s="105"/>
      <c r="D2" s="105"/>
      <c r="E2" s="105"/>
    </row>
    <row r="3" s="106" customFormat="true" ht="15.75" hidden="false" customHeight="false" outlineLevel="0" collapsed="false">
      <c r="A3" s="107" t="s">
        <v>127</v>
      </c>
      <c r="B3" s="107"/>
      <c r="C3" s="107"/>
      <c r="D3" s="107"/>
      <c r="E3" s="107"/>
    </row>
    <row r="4" s="106" customFormat="true" ht="15" hidden="false" customHeight="true" outlineLevel="0" collapsed="false">
      <c r="A4" s="108" t="s">
        <v>90</v>
      </c>
      <c r="B4" s="109" t="s">
        <v>128</v>
      </c>
      <c r="C4" s="110" t="n">
        <v>2025</v>
      </c>
      <c r="D4" s="110"/>
      <c r="E4" s="110"/>
    </row>
    <row r="5" s="106" customFormat="true" ht="60" hidden="false" customHeight="true" outlineLevel="0" collapsed="false">
      <c r="A5" s="108" t="s">
        <v>92</v>
      </c>
      <c r="B5" s="109" t="s">
        <v>129</v>
      </c>
      <c r="C5" s="111" t="s">
        <v>130</v>
      </c>
      <c r="D5" s="111"/>
      <c r="E5" s="111"/>
    </row>
    <row r="6" s="106" customFormat="true" ht="15.75" hidden="false" customHeight="true" outlineLevel="0" collapsed="false">
      <c r="A6" s="108" t="s">
        <v>131</v>
      </c>
      <c r="B6" s="109" t="s">
        <v>132</v>
      </c>
      <c r="C6" s="111"/>
      <c r="D6" s="111"/>
      <c r="E6" s="111"/>
    </row>
    <row r="7" s="106" customFormat="true" ht="15.75" hidden="false" customHeight="false" outlineLevel="0" collapsed="false">
      <c r="A7" s="108"/>
      <c r="B7" s="109" t="s">
        <v>134</v>
      </c>
      <c r="C7" s="111" t="n">
        <v>12</v>
      </c>
      <c r="D7" s="111"/>
      <c r="E7" s="111"/>
    </row>
    <row r="8" s="106" customFormat="true" ht="15.75" hidden="false" customHeight="false" outlineLevel="0" collapsed="false">
      <c r="A8" s="107" t="s">
        <v>135</v>
      </c>
      <c r="B8" s="107"/>
      <c r="C8" s="107"/>
      <c r="D8" s="107"/>
      <c r="E8" s="107"/>
      <c r="M8" s="203"/>
    </row>
    <row r="9" s="106" customFormat="true" ht="15.75" hidden="false" customHeight="false" outlineLevel="0" collapsed="false">
      <c r="A9" s="107" t="s">
        <v>136</v>
      </c>
      <c r="B9" s="107"/>
      <c r="C9" s="107"/>
      <c r="D9" s="107"/>
      <c r="E9" s="107"/>
    </row>
    <row r="10" s="106" customFormat="true" ht="15.75" hidden="false" customHeight="true" outlineLevel="0" collapsed="false">
      <c r="A10" s="107" t="s">
        <v>137</v>
      </c>
      <c r="B10" s="107"/>
      <c r="C10" s="107"/>
      <c r="D10" s="107"/>
      <c r="E10" s="107"/>
    </row>
    <row r="11" s="106" customFormat="true" ht="30" hidden="false" customHeight="true" outlineLevel="0" collapsed="false">
      <c r="A11" s="112" t="s">
        <v>138</v>
      </c>
      <c r="B11" s="112"/>
      <c r="C11" s="112"/>
      <c r="D11" s="112"/>
      <c r="E11" s="113" t="s">
        <v>139</v>
      </c>
    </row>
    <row r="12" s="106" customFormat="true" ht="60" hidden="false" customHeight="true" outlineLevel="0" collapsed="false">
      <c r="A12" s="108" t="n">
        <v>1</v>
      </c>
      <c r="B12" s="114" t="s">
        <v>140</v>
      </c>
      <c r="C12" s="115" t="s">
        <v>261</v>
      </c>
      <c r="D12" s="115"/>
      <c r="E12" s="115"/>
    </row>
    <row r="13" s="106" customFormat="true" ht="30" hidden="false" customHeight="true" outlineLevel="0" collapsed="false">
      <c r="A13" s="108" t="n">
        <v>2</v>
      </c>
      <c r="B13" s="114" t="s">
        <v>142</v>
      </c>
      <c r="C13" s="116" t="n">
        <v>3960</v>
      </c>
      <c r="D13" s="116"/>
      <c r="E13" s="116"/>
    </row>
    <row r="14" s="106" customFormat="true" ht="15.75" hidden="false" customHeight="true" outlineLevel="0" collapsed="false">
      <c r="A14" s="108" t="n">
        <v>3</v>
      </c>
      <c r="B14" s="114" t="s">
        <v>143</v>
      </c>
      <c r="C14" s="115" t="s">
        <v>124</v>
      </c>
      <c r="D14" s="115"/>
      <c r="E14" s="115"/>
    </row>
    <row r="15" s="106" customFormat="true" ht="15.75" hidden="false" customHeight="false" outlineLevel="0" collapsed="false">
      <c r="A15" s="108" t="n">
        <v>4</v>
      </c>
      <c r="B15" s="117" t="s">
        <v>145</v>
      </c>
      <c r="C15" s="205" t="n">
        <v>2025</v>
      </c>
      <c r="D15" s="205"/>
      <c r="E15" s="205"/>
    </row>
    <row r="16" s="120" customFormat="true" ht="15.75" hidden="false" customHeight="false" outlineLevel="0" collapsed="false">
      <c r="A16" s="119" t="s">
        <v>146</v>
      </c>
      <c r="B16" s="119"/>
      <c r="C16" s="119"/>
      <c r="D16" s="119"/>
      <c r="E16" s="119"/>
    </row>
    <row r="17" s="120" customFormat="true" ht="15.75" hidden="false" customHeight="true" outlineLevel="0" collapsed="false">
      <c r="A17" s="112" t="n">
        <v>1</v>
      </c>
      <c r="B17" s="121" t="s">
        <v>147</v>
      </c>
      <c r="C17" s="121"/>
      <c r="D17" s="121"/>
      <c r="E17" s="122" t="s">
        <v>139</v>
      </c>
    </row>
    <row r="18" s="106" customFormat="true" ht="15.75" hidden="false" customHeight="true" outlineLevel="0" collapsed="false">
      <c r="A18" s="123" t="s">
        <v>90</v>
      </c>
      <c r="B18" s="124" t="s">
        <v>148</v>
      </c>
      <c r="C18" s="117"/>
      <c r="D18" s="117"/>
      <c r="E18" s="125" t="n">
        <f aca="false">C13</f>
        <v>3960</v>
      </c>
    </row>
    <row r="19" s="106" customFormat="true" ht="15.75" hidden="false" customHeight="true" outlineLevel="0" collapsed="false">
      <c r="A19" s="123" t="s">
        <v>92</v>
      </c>
      <c r="B19" s="124" t="s">
        <v>149</v>
      </c>
      <c r="C19" s="126" t="s">
        <v>150</v>
      </c>
      <c r="D19" s="126"/>
      <c r="E19" s="125"/>
    </row>
    <row r="20" s="106" customFormat="true" ht="15.75" hidden="false" customHeight="true" outlineLevel="0" collapsed="false">
      <c r="A20" s="123" t="s">
        <v>131</v>
      </c>
      <c r="B20" s="124" t="s">
        <v>151</v>
      </c>
      <c r="C20" s="206"/>
      <c r="D20" s="206"/>
      <c r="E20" s="125"/>
    </row>
    <row r="21" s="106" customFormat="true" ht="15.75" hidden="false" customHeight="true" outlineLevel="0" collapsed="false">
      <c r="A21" s="123" t="s">
        <v>153</v>
      </c>
      <c r="B21" s="124" t="s">
        <v>154</v>
      </c>
      <c r="C21" s="126" t="s">
        <v>155</v>
      </c>
      <c r="D21" s="126"/>
      <c r="E21" s="125"/>
    </row>
    <row r="22" s="120" customFormat="true" ht="15.75" hidden="false" customHeight="true" outlineLevel="0" collapsed="false">
      <c r="A22" s="123" t="s">
        <v>94</v>
      </c>
      <c r="B22" s="124" t="s">
        <v>156</v>
      </c>
      <c r="C22" s="126" t="s">
        <v>157</v>
      </c>
      <c r="D22" s="126"/>
      <c r="E22" s="125"/>
      <c r="F22" s="106"/>
      <c r="G22" s="106"/>
      <c r="H22" s="106"/>
      <c r="I22" s="106"/>
      <c r="J22" s="106"/>
      <c r="K22" s="106"/>
      <c r="L22" s="106"/>
      <c r="M22" s="106"/>
    </row>
    <row r="23" s="120" customFormat="true" ht="15.75" hidden="false" customHeight="false" outlineLevel="0" collapsed="false">
      <c r="A23" s="123" t="s">
        <v>158</v>
      </c>
      <c r="B23" s="124" t="s">
        <v>159</v>
      </c>
      <c r="C23" s="128"/>
      <c r="D23" s="128"/>
      <c r="E23" s="125"/>
      <c r="F23" s="106"/>
      <c r="G23" s="106"/>
      <c r="H23" s="106"/>
      <c r="I23" s="106"/>
      <c r="J23" s="106"/>
      <c r="K23" s="106"/>
      <c r="L23" s="106"/>
      <c r="M23" s="106"/>
    </row>
    <row r="24" s="106" customFormat="true" ht="15.75" hidden="false" customHeight="true" outlineLevel="0" collapsed="false">
      <c r="A24" s="123" t="s">
        <v>160</v>
      </c>
      <c r="B24" s="129" t="s">
        <v>161</v>
      </c>
      <c r="C24" s="128"/>
      <c r="D24" s="128"/>
      <c r="E24" s="125"/>
    </row>
    <row r="25" s="106" customFormat="true" ht="15.75" hidden="false" customHeight="true" outlineLevel="0" collapsed="false">
      <c r="A25" s="130" t="s">
        <v>162</v>
      </c>
      <c r="B25" s="130"/>
      <c r="C25" s="130"/>
      <c r="D25" s="130"/>
      <c r="E25" s="131" t="n">
        <f aca="false">SUM(E18:E24)</f>
        <v>3960</v>
      </c>
      <c r="F25" s="120"/>
      <c r="G25" s="120"/>
      <c r="H25" s="120"/>
      <c r="I25" s="120"/>
      <c r="J25" s="120"/>
      <c r="K25" s="120"/>
      <c r="L25" s="120"/>
      <c r="M25" s="120"/>
    </row>
    <row r="26" s="106" customFormat="true" ht="15.75" hidden="false" customHeight="false" outlineLevel="0" collapsed="false">
      <c r="A26" s="119" t="s">
        <v>163</v>
      </c>
      <c r="B26" s="119"/>
      <c r="C26" s="119"/>
      <c r="D26" s="119"/>
      <c r="E26" s="119"/>
      <c r="F26" s="120"/>
      <c r="G26" s="120"/>
      <c r="H26" s="120"/>
      <c r="I26" s="120"/>
      <c r="J26" s="120"/>
      <c r="K26" s="120"/>
      <c r="L26" s="120"/>
      <c r="M26" s="120"/>
    </row>
    <row r="27" customFormat="false" ht="30" hidden="false" customHeight="true" outlineLevel="0" collapsed="false">
      <c r="A27" s="132" t="n">
        <v>2</v>
      </c>
      <c r="B27" s="133" t="s">
        <v>164</v>
      </c>
      <c r="C27" s="134" t="s">
        <v>165</v>
      </c>
      <c r="D27" s="135"/>
      <c r="E27" s="136" t="s">
        <v>139</v>
      </c>
      <c r="F27" s="106"/>
      <c r="G27" s="106"/>
      <c r="H27" s="106"/>
      <c r="I27" s="106"/>
      <c r="J27" s="106"/>
      <c r="K27" s="106"/>
      <c r="L27" s="106"/>
      <c r="M27" s="106"/>
    </row>
    <row r="28" customFormat="false" ht="15.75" hidden="false" customHeight="false" outlineLevel="0" collapsed="false">
      <c r="A28" s="137" t="s">
        <v>90</v>
      </c>
      <c r="B28" s="138" t="s">
        <v>166</v>
      </c>
      <c r="C28" s="139" t="n">
        <f aca="false">E25</f>
        <v>3960</v>
      </c>
      <c r="D28" s="140" t="n">
        <f aca="false">1/12</f>
        <v>0.0833333333333333</v>
      </c>
      <c r="E28" s="84" t="n">
        <f aca="false">(E25)*D28</f>
        <v>330</v>
      </c>
      <c r="F28" s="106"/>
      <c r="G28" s="106"/>
      <c r="H28" s="106"/>
      <c r="I28" s="106"/>
      <c r="J28" s="106"/>
      <c r="K28" s="106"/>
      <c r="L28" s="106"/>
      <c r="M28" s="106"/>
    </row>
    <row r="29" customFormat="false" ht="15.75" hidden="false" customHeight="false" outlineLevel="0" collapsed="false">
      <c r="A29" s="137" t="s">
        <v>92</v>
      </c>
      <c r="B29" s="141" t="s">
        <v>258</v>
      </c>
      <c r="C29" s="139" t="n">
        <f aca="false">E25</f>
        <v>3960</v>
      </c>
      <c r="D29" s="140" t="n">
        <v>0.1111</v>
      </c>
      <c r="E29" s="84" t="n">
        <f aca="false">(E25)*D29</f>
        <v>439.956</v>
      </c>
      <c r="F29" s="106"/>
      <c r="G29" s="106"/>
      <c r="H29" s="106"/>
      <c r="I29" s="106"/>
      <c r="J29" s="106"/>
      <c r="K29" s="106"/>
      <c r="L29" s="106"/>
      <c r="M29" s="106"/>
    </row>
    <row r="30" customFormat="false" ht="15.75" hidden="false" customHeight="true" outlineLevel="0" collapsed="false">
      <c r="A30" s="142" t="s">
        <v>168</v>
      </c>
      <c r="B30" s="142"/>
      <c r="C30" s="142"/>
      <c r="D30" s="143" t="n">
        <f aca="false">SUM(D28:D29)</f>
        <v>0.194433333333333</v>
      </c>
      <c r="E30" s="144" t="n">
        <f aca="false">SUM(E28:E29)</f>
        <v>769.956</v>
      </c>
    </row>
    <row r="31" customFormat="false" ht="30" hidden="false" customHeight="true" outlineLevel="0" collapsed="false">
      <c r="A31" s="145" t="s">
        <v>169</v>
      </c>
      <c r="B31" s="145"/>
      <c r="C31" s="145"/>
      <c r="D31" s="145"/>
      <c r="E31" s="145"/>
    </row>
    <row r="32" customFormat="false" ht="30" hidden="false" customHeight="true" outlineLevel="0" collapsed="false">
      <c r="A32" s="146" t="s">
        <v>170</v>
      </c>
      <c r="B32" s="147" t="s">
        <v>171</v>
      </c>
      <c r="C32" s="148" t="s">
        <v>165</v>
      </c>
      <c r="D32" s="149"/>
      <c r="E32" s="150" t="s">
        <v>139</v>
      </c>
    </row>
    <row r="33" customFormat="false" ht="15.75" hidden="false" customHeight="false" outlineLevel="0" collapsed="false">
      <c r="A33" s="137" t="s">
        <v>90</v>
      </c>
      <c r="B33" s="151" t="s">
        <v>172</v>
      </c>
      <c r="C33" s="139" t="n">
        <f aca="false">E$25+E$30</f>
        <v>4729.956</v>
      </c>
      <c r="D33" s="140" t="n">
        <v>0.2</v>
      </c>
      <c r="E33" s="84" t="n">
        <f aca="false">C33*D33</f>
        <v>945.9912</v>
      </c>
    </row>
    <row r="34" customFormat="false" ht="15.75" hidden="false" customHeight="false" outlineLevel="0" collapsed="false">
      <c r="A34" s="137" t="s">
        <v>92</v>
      </c>
      <c r="B34" s="151" t="s">
        <v>173</v>
      </c>
      <c r="C34" s="139" t="n">
        <f aca="false">E$25+E$30</f>
        <v>4729.956</v>
      </c>
      <c r="D34" s="152" t="n">
        <v>0.025</v>
      </c>
      <c r="E34" s="84" t="n">
        <f aca="false">C34*D34</f>
        <v>118.2489</v>
      </c>
    </row>
    <row r="35" customFormat="false" ht="35.05" hidden="false" customHeight="false" outlineLevel="0" collapsed="false">
      <c r="A35" s="137" t="s">
        <v>131</v>
      </c>
      <c r="B35" s="153" t="s">
        <v>174</v>
      </c>
      <c r="C35" s="139" t="n">
        <f aca="false">E$25+E$30</f>
        <v>4729.956</v>
      </c>
      <c r="D35" s="152" t="n">
        <v>0.03</v>
      </c>
      <c r="E35" s="84" t="n">
        <f aca="false">C35*D35</f>
        <v>141.89868</v>
      </c>
    </row>
    <row r="36" customFormat="false" ht="15.75" hidden="false" customHeight="false" outlineLevel="0" collapsed="false">
      <c r="A36" s="137" t="s">
        <v>153</v>
      </c>
      <c r="B36" s="151" t="s">
        <v>175</v>
      </c>
      <c r="C36" s="139" t="n">
        <f aca="false">E$25+E$30</f>
        <v>4729.956</v>
      </c>
      <c r="D36" s="152" t="n">
        <v>0.015</v>
      </c>
      <c r="E36" s="84" t="n">
        <f aca="false">C36*D36</f>
        <v>70.94934</v>
      </c>
    </row>
    <row r="37" customFormat="false" ht="15.75" hidden="false" customHeight="false" outlineLevel="0" collapsed="false">
      <c r="A37" s="137" t="s">
        <v>94</v>
      </c>
      <c r="B37" s="151" t="s">
        <v>176</v>
      </c>
      <c r="C37" s="139" t="n">
        <f aca="false">E$25+E$30</f>
        <v>4729.956</v>
      </c>
      <c r="D37" s="152" t="n">
        <v>0.01</v>
      </c>
      <c r="E37" s="84" t="n">
        <f aca="false">C37*D37</f>
        <v>47.29956</v>
      </c>
    </row>
    <row r="38" s="155" customFormat="true" ht="15.75" hidden="false" customHeight="false" outlineLevel="0" collapsed="false">
      <c r="A38" s="137" t="s">
        <v>158</v>
      </c>
      <c r="B38" s="154" t="s">
        <v>177</v>
      </c>
      <c r="C38" s="139" t="n">
        <f aca="false">E$25+E$30</f>
        <v>4729.956</v>
      </c>
      <c r="D38" s="152" t="n">
        <v>0.006</v>
      </c>
      <c r="E38" s="84" t="n">
        <f aca="false">C38*D38</f>
        <v>28.379736</v>
      </c>
      <c r="F38" s="103"/>
      <c r="G38" s="103"/>
      <c r="H38" s="103"/>
      <c r="I38" s="103"/>
      <c r="J38" s="103"/>
      <c r="K38" s="103"/>
      <c r="L38" s="103"/>
      <c r="M38" s="103"/>
    </row>
    <row r="39" s="155" customFormat="true" ht="23.85" hidden="false" customHeight="false" outlineLevel="0" collapsed="false">
      <c r="A39" s="137" t="s">
        <v>160</v>
      </c>
      <c r="B39" s="153" t="s">
        <v>178</v>
      </c>
      <c r="C39" s="139" t="n">
        <f aca="false">E$25+E$30</f>
        <v>4729.956</v>
      </c>
      <c r="D39" s="152" t="n">
        <v>0.002</v>
      </c>
      <c r="E39" s="84" t="n">
        <f aca="false">C39*D39</f>
        <v>9.459912</v>
      </c>
      <c r="F39" s="103"/>
      <c r="G39" s="103"/>
      <c r="H39" s="103"/>
      <c r="I39" s="103"/>
      <c r="J39" s="103"/>
      <c r="K39" s="103"/>
      <c r="L39" s="103"/>
      <c r="M39" s="103"/>
    </row>
    <row r="40" s="155" customFormat="true" ht="15.75" hidden="false" customHeight="false" outlineLevel="0" collapsed="false">
      <c r="A40" s="137" t="s">
        <v>179</v>
      </c>
      <c r="B40" s="151" t="s">
        <v>180</v>
      </c>
      <c r="C40" s="139" t="n">
        <f aca="false">E$25+E$30</f>
        <v>4729.956</v>
      </c>
      <c r="D40" s="152" t="n">
        <v>0.08</v>
      </c>
      <c r="E40" s="84" t="n">
        <f aca="false">C40*D40</f>
        <v>378.39648</v>
      </c>
      <c r="F40" s="103"/>
      <c r="G40" s="103"/>
      <c r="H40" s="103"/>
      <c r="I40" s="103"/>
      <c r="J40" s="103"/>
      <c r="K40" s="103"/>
      <c r="L40" s="103"/>
      <c r="M40" s="103"/>
    </row>
    <row r="41" s="155" customFormat="true" ht="15.75" hidden="false" customHeight="true" outlineLevel="0" collapsed="false">
      <c r="A41" s="142" t="s">
        <v>168</v>
      </c>
      <c r="B41" s="142"/>
      <c r="C41" s="142"/>
      <c r="D41" s="156" t="n">
        <f aca="false">SUM(D33:D40)</f>
        <v>0.368</v>
      </c>
      <c r="E41" s="144" t="n">
        <f aca="false">SUM(E33:E40)</f>
        <v>1740.623808</v>
      </c>
    </row>
    <row r="42" s="155" customFormat="true" ht="15.75" hidden="false" customHeight="false" outlineLevel="0" collapsed="false">
      <c r="A42" s="157" t="s">
        <v>181</v>
      </c>
      <c r="B42" s="157"/>
      <c r="C42" s="157"/>
      <c r="D42" s="157"/>
      <c r="E42" s="157"/>
    </row>
    <row r="43" s="155" customFormat="true" ht="30" hidden="false" customHeight="true" outlineLevel="0" collapsed="false">
      <c r="A43" s="202" t="s">
        <v>182</v>
      </c>
      <c r="B43" s="159" t="s">
        <v>183</v>
      </c>
      <c r="C43" s="134" t="s">
        <v>165</v>
      </c>
      <c r="D43" s="135"/>
      <c r="E43" s="136" t="s">
        <v>139</v>
      </c>
    </row>
    <row r="44" s="155" customFormat="true" ht="15.75" hidden="false" customHeight="false" outlineLevel="0" collapsed="false">
      <c r="A44" s="160" t="s">
        <v>90</v>
      </c>
      <c r="B44" s="161" t="s">
        <v>184</v>
      </c>
      <c r="C44" s="162"/>
      <c r="D44" s="161"/>
      <c r="E44" s="163"/>
    </row>
    <row r="45" s="155" customFormat="true" ht="15.75" hidden="false" customHeight="false" outlineLevel="0" collapsed="false">
      <c r="A45" s="164" t="s">
        <v>92</v>
      </c>
      <c r="B45" s="129" t="s">
        <v>185</v>
      </c>
      <c r="C45" s="207"/>
      <c r="D45" s="128"/>
      <c r="E45" s="125"/>
    </row>
    <row r="46" s="155" customFormat="true" ht="15.75" hidden="false" customHeight="false" outlineLevel="0" collapsed="false">
      <c r="A46" s="137" t="s">
        <v>131</v>
      </c>
      <c r="B46" s="138" t="s">
        <v>186</v>
      </c>
      <c r="C46" s="166"/>
      <c r="D46" s="167"/>
      <c r="E46" s="84"/>
    </row>
    <row r="47" s="155" customFormat="true" ht="15.75" hidden="false" customHeight="false" outlineLevel="0" collapsed="false">
      <c r="A47" s="137" t="s">
        <v>153</v>
      </c>
      <c r="B47" s="138" t="s">
        <v>187</v>
      </c>
      <c r="C47" s="166"/>
      <c r="D47" s="167"/>
      <c r="E47" s="84"/>
    </row>
    <row r="48" s="155" customFormat="true" ht="15.75" hidden="false" customHeight="false" outlineLevel="0" collapsed="false">
      <c r="A48" s="137" t="s">
        <v>94</v>
      </c>
      <c r="B48" s="138" t="s">
        <v>189</v>
      </c>
      <c r="C48" s="83"/>
      <c r="D48" s="167"/>
      <c r="E48" s="84"/>
    </row>
    <row r="49" s="155" customFormat="true" ht="15.75" hidden="false" customHeight="true" outlineLevel="0" collapsed="false">
      <c r="A49" s="142" t="s">
        <v>190</v>
      </c>
      <c r="B49" s="142"/>
      <c r="C49" s="142"/>
      <c r="D49" s="142"/>
      <c r="E49" s="144" t="n">
        <f aca="false">SUM(E44:E48)</f>
        <v>0</v>
      </c>
    </row>
    <row r="50" s="155" customFormat="true" ht="15.75" hidden="false" customHeight="true" outlineLevel="0" collapsed="false">
      <c r="A50" s="157" t="s">
        <v>191</v>
      </c>
      <c r="B50" s="157"/>
      <c r="C50" s="157"/>
      <c r="D50" s="157"/>
      <c r="E50" s="157"/>
    </row>
    <row r="51" s="155" customFormat="true" ht="15.75" hidden="false" customHeight="true" outlineLevel="0" collapsed="false">
      <c r="A51" s="112" t="s">
        <v>170</v>
      </c>
      <c r="B51" s="172" t="s">
        <v>192</v>
      </c>
      <c r="C51" s="173"/>
      <c r="D51" s="173"/>
      <c r="E51" s="174" t="n">
        <f aca="false">E30</f>
        <v>769.956</v>
      </c>
    </row>
    <row r="52" s="155" customFormat="true" ht="15.75" hidden="false" customHeight="true" outlineLevel="0" collapsed="false">
      <c r="A52" s="112" t="s">
        <v>193</v>
      </c>
      <c r="B52" s="172" t="s">
        <v>194</v>
      </c>
      <c r="C52" s="173"/>
      <c r="D52" s="173"/>
      <c r="E52" s="174" t="n">
        <f aca="false">E41</f>
        <v>1740.623808</v>
      </c>
    </row>
    <row r="53" s="155" customFormat="true" ht="15.75" hidden="false" customHeight="true" outlineLevel="0" collapsed="false">
      <c r="A53" s="112" t="s">
        <v>182</v>
      </c>
      <c r="B53" s="172" t="s">
        <v>195</v>
      </c>
      <c r="C53" s="173"/>
      <c r="D53" s="173"/>
      <c r="E53" s="174" t="n">
        <f aca="false">E49</f>
        <v>0</v>
      </c>
    </row>
    <row r="54" s="155" customFormat="true" ht="15.75" hidden="false" customHeight="true" outlineLevel="0" collapsed="false">
      <c r="A54" s="130" t="s">
        <v>196</v>
      </c>
      <c r="B54" s="130"/>
      <c r="C54" s="130"/>
      <c r="D54" s="130"/>
      <c r="E54" s="131" t="n">
        <f aca="false">SUM(E51:E53)</f>
        <v>2510.579808</v>
      </c>
    </row>
    <row r="55" s="155" customFormat="true" ht="15.75" hidden="false" customHeight="true" outlineLevel="0" collapsed="false">
      <c r="A55" s="119" t="s">
        <v>197</v>
      </c>
      <c r="B55" s="119"/>
      <c r="C55" s="119"/>
      <c r="D55" s="119"/>
      <c r="E55" s="119"/>
    </row>
    <row r="56" s="155" customFormat="true" ht="30" hidden="false" customHeight="true" outlineLevel="0" collapsed="false">
      <c r="A56" s="146" t="s">
        <v>198</v>
      </c>
      <c r="B56" s="147" t="s">
        <v>199</v>
      </c>
      <c r="C56" s="175" t="s">
        <v>165</v>
      </c>
      <c r="D56" s="63"/>
      <c r="E56" s="150" t="s">
        <v>139</v>
      </c>
    </row>
    <row r="57" s="155" customFormat="true" ht="15.75" hidden="false" customHeight="true" outlineLevel="0" collapsed="false">
      <c r="A57" s="137" t="s">
        <v>90</v>
      </c>
      <c r="B57" s="138" t="s">
        <v>200</v>
      </c>
      <c r="C57" s="176" t="n">
        <f aca="false">E$25+E$30</f>
        <v>4729.956</v>
      </c>
      <c r="D57" s="140" t="n">
        <v>0.0046</v>
      </c>
      <c r="E57" s="84" t="n">
        <f aca="false">C57*D57</f>
        <v>21.7577976</v>
      </c>
    </row>
    <row r="58" s="155" customFormat="true" ht="15.75" hidden="false" customHeight="true" outlineLevel="0" collapsed="false">
      <c r="A58" s="137" t="s">
        <v>92</v>
      </c>
      <c r="B58" s="138" t="s">
        <v>201</v>
      </c>
      <c r="C58" s="176" t="n">
        <f aca="false">E$25+E$30</f>
        <v>4729.956</v>
      </c>
      <c r="D58" s="140" t="n">
        <v>0.0004</v>
      </c>
      <c r="E58" s="84" t="n">
        <f aca="false">C58*D58</f>
        <v>1.8919824</v>
      </c>
    </row>
    <row r="59" s="155" customFormat="true" ht="15.75" hidden="false" customHeight="true" outlineLevel="0" collapsed="false">
      <c r="A59" s="137" t="s">
        <v>131</v>
      </c>
      <c r="B59" s="138" t="s">
        <v>202</v>
      </c>
      <c r="C59" s="176" t="n">
        <f aca="false">E$25+E$30</f>
        <v>4729.956</v>
      </c>
      <c r="D59" s="140" t="n">
        <v>0.0194</v>
      </c>
      <c r="E59" s="84" t="n">
        <f aca="false">C59*D59</f>
        <v>91.7611464</v>
      </c>
    </row>
    <row r="60" s="155" customFormat="true" ht="30" hidden="false" customHeight="true" outlineLevel="0" collapsed="false">
      <c r="A60" s="137" t="s">
        <v>153</v>
      </c>
      <c r="B60" s="149" t="s">
        <v>203</v>
      </c>
      <c r="C60" s="176" t="n">
        <f aca="false">E$25+E$30</f>
        <v>4729.956</v>
      </c>
      <c r="D60" s="177" t="n">
        <f aca="false">D41*D59</f>
        <v>0.0071392</v>
      </c>
      <c r="E60" s="84" t="n">
        <f aca="false">C60*D60</f>
        <v>33.7681018752</v>
      </c>
    </row>
    <row r="61" s="155" customFormat="true" ht="32.25" hidden="false" customHeight="true" outlineLevel="0" collapsed="false">
      <c r="A61" s="137" t="s">
        <v>94</v>
      </c>
      <c r="B61" s="138" t="s">
        <v>204</v>
      </c>
      <c r="C61" s="176" t="n">
        <f aca="false">E$25+E$30</f>
        <v>4729.956</v>
      </c>
      <c r="D61" s="140" t="n">
        <v>0.04</v>
      </c>
      <c r="E61" s="84" t="n">
        <f aca="false">C61*D61</f>
        <v>189.19824</v>
      </c>
    </row>
    <row r="62" s="155" customFormat="true" ht="15.75" hidden="false" customHeight="true" outlineLevel="0" collapsed="false">
      <c r="A62" s="130" t="s">
        <v>205</v>
      </c>
      <c r="B62" s="130"/>
      <c r="C62" s="130"/>
      <c r="D62" s="178" t="n">
        <f aca="false">SUM(D57:D61)</f>
        <v>0.0715392</v>
      </c>
      <c r="E62" s="131" t="n">
        <f aca="false">SUM(E57:E61)</f>
        <v>338.3772682752</v>
      </c>
    </row>
    <row r="63" s="155" customFormat="true" ht="15.75" hidden="false" customHeight="true" outlineLevel="0" collapsed="false">
      <c r="A63" s="119" t="s">
        <v>206</v>
      </c>
      <c r="B63" s="119"/>
      <c r="C63" s="119"/>
      <c r="D63" s="119"/>
      <c r="E63" s="119"/>
    </row>
    <row r="64" s="155" customFormat="true" ht="23.85" hidden="false" customHeight="false" outlineLevel="0" collapsed="false">
      <c r="A64" s="146" t="s">
        <v>207</v>
      </c>
      <c r="B64" s="179" t="s">
        <v>208</v>
      </c>
      <c r="C64" s="175" t="s">
        <v>165</v>
      </c>
      <c r="D64" s="180"/>
      <c r="E64" s="150" t="s">
        <v>139</v>
      </c>
    </row>
    <row r="65" s="155" customFormat="true" ht="15.75" hidden="false" customHeight="false" outlineLevel="0" collapsed="false">
      <c r="A65" s="137" t="s">
        <v>90</v>
      </c>
      <c r="B65" s="138" t="s">
        <v>209</v>
      </c>
      <c r="C65" s="181" t="n">
        <f aca="false">E$25+E$54+E$62+E85</f>
        <v>6847.5820762752</v>
      </c>
      <c r="D65" s="140" t="n">
        <f aca="false">D29/12</f>
        <v>0.00925833333333333</v>
      </c>
      <c r="E65" s="84" t="n">
        <f aca="false">C65*D65</f>
        <v>63.3971973895146</v>
      </c>
    </row>
    <row r="66" s="155" customFormat="true" ht="15.75" hidden="false" customHeight="false" outlineLevel="0" collapsed="false">
      <c r="A66" s="137" t="s">
        <v>92</v>
      </c>
      <c r="B66" s="138" t="s">
        <v>210</v>
      </c>
      <c r="C66" s="181" t="n">
        <f aca="false">E$25+E$54+E$62+E85</f>
        <v>6847.5820762752</v>
      </c>
      <c r="D66" s="140" t="n">
        <v>0.0139</v>
      </c>
      <c r="E66" s="84" t="n">
        <f aca="false">C66*D66</f>
        <v>95.1813908602253</v>
      </c>
    </row>
    <row r="67" s="155" customFormat="true" ht="15.75" hidden="false" customHeight="false" outlineLevel="0" collapsed="false">
      <c r="A67" s="137" t="s">
        <v>131</v>
      </c>
      <c r="B67" s="138" t="s">
        <v>211</v>
      </c>
      <c r="C67" s="181" t="n">
        <f aca="false">E$25+E$54+E$62+E85</f>
        <v>6847.5820762752</v>
      </c>
      <c r="D67" s="140" t="n">
        <v>0.0013</v>
      </c>
      <c r="E67" s="84" t="n">
        <f aca="false">C67*D67</f>
        <v>8.90185669915776</v>
      </c>
    </row>
    <row r="68" s="155" customFormat="true" ht="15.75" hidden="false" customHeight="false" outlineLevel="0" collapsed="false">
      <c r="A68" s="137" t="s">
        <v>153</v>
      </c>
      <c r="B68" s="138" t="s">
        <v>212</v>
      </c>
      <c r="C68" s="181" t="n">
        <f aca="false">E$25+E$54+E$62+E85</f>
        <v>6847.5820762752</v>
      </c>
      <c r="D68" s="140" t="n">
        <v>0.0002</v>
      </c>
      <c r="E68" s="84" t="n">
        <f aca="false">C68*D68</f>
        <v>1.36951641525504</v>
      </c>
    </row>
    <row r="69" s="155" customFormat="true" ht="15.75" hidden="false" customHeight="false" outlineLevel="0" collapsed="false">
      <c r="A69" s="137" t="s">
        <v>94</v>
      </c>
      <c r="B69" s="138" t="s">
        <v>213</v>
      </c>
      <c r="C69" s="181" t="n">
        <f aca="false">E$25+E$54+E$62+E85</f>
        <v>6847.5820762752</v>
      </c>
      <c r="D69" s="140" t="n">
        <v>0.0028</v>
      </c>
      <c r="E69" s="84" t="n">
        <f aca="false">C69*D69</f>
        <v>19.1732298135706</v>
      </c>
    </row>
    <row r="70" s="155" customFormat="true" ht="15.75" hidden="false" customHeight="false" outlineLevel="0" collapsed="false">
      <c r="A70" s="137" t="s">
        <v>158</v>
      </c>
      <c r="B70" s="138" t="s">
        <v>214</v>
      </c>
      <c r="C70" s="181" t="n">
        <f aca="false">E$25+E$54+E$62+E85</f>
        <v>6847.5820762752</v>
      </c>
      <c r="D70" s="140" t="n">
        <v>0.0003</v>
      </c>
      <c r="E70" s="84" t="n">
        <f aca="false">C70*D70</f>
        <v>2.05427462288256</v>
      </c>
    </row>
    <row r="71" s="155" customFormat="true" ht="15.75" hidden="false" customHeight="false" outlineLevel="0" collapsed="false">
      <c r="A71" s="137" t="s">
        <v>160</v>
      </c>
      <c r="B71" s="182" t="s">
        <v>215</v>
      </c>
      <c r="C71" s="181" t="n">
        <f aca="false">E$25+E$54+E$62+E85</f>
        <v>6847.5820762752</v>
      </c>
      <c r="D71" s="140" t="n">
        <v>0</v>
      </c>
      <c r="E71" s="84" t="n">
        <f aca="false">C71*D71</f>
        <v>0</v>
      </c>
    </row>
    <row r="72" s="155" customFormat="true" ht="15.75" hidden="false" customHeight="true" outlineLevel="0" collapsed="false">
      <c r="A72" s="142" t="s">
        <v>216</v>
      </c>
      <c r="B72" s="142"/>
      <c r="C72" s="142"/>
      <c r="D72" s="183" t="n">
        <f aca="false">SUM(D65:D71)</f>
        <v>0.0277583333333333</v>
      </c>
      <c r="E72" s="144" t="n">
        <f aca="false">SUM(E65:E71)</f>
        <v>190.077465800606</v>
      </c>
    </row>
    <row r="73" s="155" customFormat="true" ht="15.75" hidden="false" customHeight="true" outlineLevel="0" collapsed="false">
      <c r="A73" s="157" t="s">
        <v>217</v>
      </c>
      <c r="B73" s="157"/>
      <c r="C73" s="157"/>
      <c r="D73" s="157"/>
      <c r="E73" s="157"/>
    </row>
    <row r="74" s="155" customFormat="true" ht="15.75" hidden="false" customHeight="false" outlineLevel="0" collapsed="false">
      <c r="A74" s="146"/>
      <c r="B74" s="147" t="s">
        <v>217</v>
      </c>
      <c r="C74" s="149"/>
      <c r="D74" s="149"/>
      <c r="E74" s="150" t="s">
        <v>139</v>
      </c>
    </row>
    <row r="75" s="155" customFormat="true" ht="15.75" hidden="false" customHeight="true" outlineLevel="0" collapsed="false">
      <c r="A75" s="137" t="s">
        <v>90</v>
      </c>
      <c r="B75" s="138" t="s">
        <v>218</v>
      </c>
      <c r="C75" s="166"/>
      <c r="D75" s="140" t="n">
        <v>0</v>
      </c>
      <c r="E75" s="84" t="n">
        <f aca="false">(E$25+E$54+E$62)*D75</f>
        <v>0</v>
      </c>
    </row>
    <row r="76" s="155" customFormat="true" ht="15.75" hidden="false" customHeight="true" outlineLevel="0" collapsed="false">
      <c r="A76" s="142" t="s">
        <v>219</v>
      </c>
      <c r="B76" s="142"/>
      <c r="C76" s="142"/>
      <c r="D76" s="143" t="n">
        <f aca="false">SUM(D75)</f>
        <v>0</v>
      </c>
      <c r="E76" s="144" t="n">
        <f aca="false">SUM(E75)</f>
        <v>0</v>
      </c>
    </row>
    <row r="77" s="155" customFormat="true" ht="15.75" hidden="false" customHeight="true" outlineLevel="0" collapsed="false">
      <c r="A77" s="184" t="s">
        <v>220</v>
      </c>
      <c r="B77" s="184"/>
      <c r="C77" s="184"/>
      <c r="D77" s="184"/>
      <c r="E77" s="184"/>
    </row>
    <row r="78" s="155" customFormat="true" ht="15.75" hidden="false" customHeight="true" outlineLevel="0" collapsed="false">
      <c r="A78" s="146" t="n">
        <v>4</v>
      </c>
      <c r="B78" s="185" t="s">
        <v>221</v>
      </c>
      <c r="C78" s="186"/>
      <c r="D78" s="187"/>
      <c r="E78" s="150" t="s">
        <v>139</v>
      </c>
    </row>
    <row r="79" s="155" customFormat="true" ht="15.75" hidden="false" customHeight="true" outlineLevel="0" collapsed="false">
      <c r="A79" s="137" t="s">
        <v>207</v>
      </c>
      <c r="B79" s="138" t="s">
        <v>208</v>
      </c>
      <c r="C79" s="186"/>
      <c r="D79" s="140" t="n">
        <f aca="false">D72</f>
        <v>0.0277583333333333</v>
      </c>
      <c r="E79" s="84" t="n">
        <f aca="false">E72</f>
        <v>190.077465800606</v>
      </c>
    </row>
    <row r="80" s="155" customFormat="true" ht="15.75" hidden="false" customHeight="true" outlineLevel="0" collapsed="false">
      <c r="A80" s="137" t="s">
        <v>222</v>
      </c>
      <c r="B80" s="138" t="s">
        <v>217</v>
      </c>
      <c r="C80" s="186"/>
      <c r="D80" s="140" t="n">
        <v>0</v>
      </c>
      <c r="E80" s="84" t="n">
        <f aca="false">(D$25+D$53+D$61)*D80</f>
        <v>0</v>
      </c>
    </row>
    <row r="81" s="155" customFormat="true" ht="15.75" hidden="false" customHeight="true" outlineLevel="0" collapsed="false">
      <c r="A81" s="142" t="s">
        <v>168</v>
      </c>
      <c r="B81" s="142"/>
      <c r="C81" s="142"/>
      <c r="D81" s="143" t="n">
        <f aca="false">SUM(D79:D80)</f>
        <v>0.0277583333333333</v>
      </c>
      <c r="E81" s="144" t="n">
        <f aca="false">SUM(E79:E80)</f>
        <v>190.077465800606</v>
      </c>
    </row>
    <row r="82" s="155" customFormat="true" ht="15.75" hidden="false" customHeight="true" outlineLevel="0" collapsed="false">
      <c r="A82" s="130" t="s">
        <v>223</v>
      </c>
      <c r="B82" s="130"/>
      <c r="C82" s="130"/>
      <c r="D82" s="130"/>
      <c r="E82" s="131" t="n">
        <f aca="false">SUM(E72+E76)</f>
        <v>190.077465800606</v>
      </c>
    </row>
    <row r="83" s="155" customFormat="true" ht="15.75" hidden="false" customHeight="true" outlineLevel="0" collapsed="false">
      <c r="A83" s="119" t="s">
        <v>224</v>
      </c>
      <c r="B83" s="119"/>
      <c r="C83" s="119"/>
      <c r="D83" s="119"/>
      <c r="E83" s="119"/>
    </row>
    <row r="84" s="155" customFormat="true" ht="15.75" hidden="false" customHeight="true" outlineLevel="0" collapsed="false">
      <c r="A84" s="146" t="n">
        <v>5</v>
      </c>
      <c r="B84" s="147" t="s">
        <v>225</v>
      </c>
      <c r="C84" s="149"/>
      <c r="D84" s="149"/>
      <c r="E84" s="150" t="s">
        <v>139</v>
      </c>
    </row>
    <row r="85" s="155" customFormat="true" ht="15.75" hidden="false" customHeight="true" outlineLevel="0" collapsed="false">
      <c r="A85" s="164" t="s">
        <v>90</v>
      </c>
      <c r="B85" s="129" t="s">
        <v>226</v>
      </c>
      <c r="C85" s="188"/>
      <c r="D85" s="189"/>
      <c r="E85" s="84" t="n">
        <f aca="false">'EPI''s e Uniformes'!H7</f>
        <v>38.625</v>
      </c>
    </row>
    <row r="86" s="155" customFormat="true" ht="15.75" hidden="false" customHeight="true" outlineLevel="0" collapsed="false">
      <c r="A86" s="164" t="s">
        <v>92</v>
      </c>
      <c r="B86" s="129" t="s">
        <v>227</v>
      </c>
      <c r="C86" s="188"/>
      <c r="D86" s="189"/>
      <c r="E86" s="84" t="n">
        <v>0</v>
      </c>
    </row>
    <row r="87" s="155" customFormat="true" ht="15.75" hidden="false" customHeight="true" outlineLevel="0" collapsed="false">
      <c r="A87" s="164" t="s">
        <v>131</v>
      </c>
      <c r="B87" s="129" t="s">
        <v>228</v>
      </c>
      <c r="C87" s="188"/>
      <c r="D87" s="189"/>
      <c r="E87" s="84" t="n">
        <v>0</v>
      </c>
    </row>
    <row r="88" s="155" customFormat="true" ht="15.75" hidden="false" customHeight="true" outlineLevel="0" collapsed="false">
      <c r="A88" s="164" t="s">
        <v>153</v>
      </c>
      <c r="B88" s="129" t="s">
        <v>229</v>
      </c>
      <c r="C88" s="188"/>
      <c r="D88" s="189"/>
      <c r="E88" s="84" t="n">
        <v>0</v>
      </c>
    </row>
    <row r="89" s="155" customFormat="true" ht="15.75" hidden="false" customHeight="true" outlineLevel="0" collapsed="false">
      <c r="A89" s="130" t="s">
        <v>230</v>
      </c>
      <c r="B89" s="130"/>
      <c r="C89" s="130"/>
      <c r="D89" s="130"/>
      <c r="E89" s="131" t="n">
        <f aca="false">SUM(E85:E88)</f>
        <v>38.625</v>
      </c>
    </row>
    <row r="90" s="155" customFormat="true" ht="23.25" hidden="false" customHeight="true" outlineLevel="0" collapsed="false">
      <c r="A90" s="132" t="s">
        <v>231</v>
      </c>
      <c r="B90" s="132"/>
      <c r="C90" s="132"/>
      <c r="D90" s="132"/>
      <c r="E90" s="190" t="n">
        <f aca="false">E89+E82+E62+E54+E25</f>
        <v>7037.65954207581</v>
      </c>
    </row>
    <row r="91" s="155" customFormat="true" ht="19.5" hidden="false" customHeight="true" outlineLevel="0" collapsed="false">
      <c r="A91" s="119" t="s">
        <v>232</v>
      </c>
      <c r="B91" s="119"/>
      <c r="C91" s="119"/>
      <c r="D91" s="119"/>
      <c r="E91" s="119"/>
    </row>
    <row r="92" s="155" customFormat="true" ht="30" hidden="false" customHeight="true" outlineLevel="0" collapsed="false">
      <c r="A92" s="146" t="n">
        <v>6</v>
      </c>
      <c r="B92" s="147" t="s">
        <v>233</v>
      </c>
      <c r="C92" s="148" t="s">
        <v>165</v>
      </c>
      <c r="D92" s="148"/>
      <c r="E92" s="150" t="s">
        <v>139</v>
      </c>
    </row>
    <row r="93" s="155" customFormat="true" ht="15.75" hidden="false" customHeight="false" outlineLevel="0" collapsed="false">
      <c r="A93" s="137" t="s">
        <v>90</v>
      </c>
      <c r="B93" s="138" t="s">
        <v>234</v>
      </c>
      <c r="C93" s="191" t="n">
        <f aca="false">E90</f>
        <v>7037.65954207581</v>
      </c>
      <c r="D93" s="140" t="n">
        <v>0.05</v>
      </c>
      <c r="E93" s="84" t="n">
        <f aca="false">+C93*D93</f>
        <v>351.88297710379</v>
      </c>
    </row>
    <row r="94" s="155" customFormat="true" ht="15.75" hidden="false" customHeight="false" outlineLevel="0" collapsed="false">
      <c r="A94" s="137" t="s">
        <v>92</v>
      </c>
      <c r="B94" s="138" t="s">
        <v>235</v>
      </c>
      <c r="C94" s="191" t="n">
        <f aca="false">E90+E93</f>
        <v>7389.5425191796</v>
      </c>
      <c r="D94" s="140" t="n">
        <v>0.1</v>
      </c>
      <c r="E94" s="84" t="n">
        <f aca="false">D94*C94</f>
        <v>738.95425191796</v>
      </c>
    </row>
    <row r="95" s="155" customFormat="true" ht="30.75" hidden="false" customHeight="true" outlineLevel="0" collapsed="false">
      <c r="A95" s="137"/>
      <c r="B95" s="138" t="s">
        <v>236</v>
      </c>
      <c r="C95" s="138"/>
      <c r="D95" s="140" t="n">
        <f aca="false">1-D102</f>
        <v>0.8575</v>
      </c>
      <c r="E95" s="84" t="n">
        <f aca="false">+E90+E93+E94</f>
        <v>8128.49677109756</v>
      </c>
    </row>
    <row r="96" s="155" customFormat="true" ht="15.75" hidden="false" customHeight="false" outlineLevel="0" collapsed="false">
      <c r="A96" s="137"/>
      <c r="B96" s="182"/>
      <c r="C96" s="192"/>
      <c r="D96" s="83"/>
      <c r="E96" s="193" t="n">
        <f aca="false">+E95/D95</f>
        <v>9479.29652606129</v>
      </c>
    </row>
    <row r="97" s="155" customFormat="true" ht="15.75" hidden="false" customHeight="false" outlineLevel="0" collapsed="false">
      <c r="A97" s="137" t="s">
        <v>131</v>
      </c>
      <c r="B97" s="182" t="s">
        <v>237</v>
      </c>
      <c r="C97" s="192"/>
      <c r="D97" s="194" t="n">
        <f aca="false">D99+D100+D101</f>
        <v>0.1425</v>
      </c>
      <c r="E97" s="193"/>
    </row>
    <row r="98" s="155" customFormat="true" ht="15.75" hidden="false" customHeight="false" outlineLevel="0" collapsed="false">
      <c r="A98" s="137" t="s">
        <v>238</v>
      </c>
      <c r="B98" s="182" t="s">
        <v>239</v>
      </c>
      <c r="C98" s="182"/>
      <c r="D98" s="194" t="n">
        <f aca="false">D99+D100</f>
        <v>0.0925</v>
      </c>
      <c r="E98" s="84"/>
    </row>
    <row r="99" s="155" customFormat="true" ht="15.75" hidden="false" customHeight="false" outlineLevel="0" collapsed="false">
      <c r="A99" s="137" t="s">
        <v>240</v>
      </c>
      <c r="B99" s="138" t="s">
        <v>241</v>
      </c>
      <c r="C99" s="82" t="n">
        <f aca="false">E96</f>
        <v>9479.29652606129</v>
      </c>
      <c r="D99" s="140" t="n">
        <v>0.0165</v>
      </c>
      <c r="E99" s="84" t="n">
        <f aca="false">C99*D99</f>
        <v>156.408392680011</v>
      </c>
    </row>
    <row r="100" s="155" customFormat="true" ht="15.75" hidden="false" customHeight="false" outlineLevel="0" collapsed="false">
      <c r="A100" s="137" t="s">
        <v>242</v>
      </c>
      <c r="B100" s="138" t="s">
        <v>243</v>
      </c>
      <c r="C100" s="82" t="n">
        <f aca="false">E96</f>
        <v>9479.29652606129</v>
      </c>
      <c r="D100" s="140" t="n">
        <v>0.076</v>
      </c>
      <c r="E100" s="84" t="n">
        <f aca="false">+C100*D100</f>
        <v>720.426535980658</v>
      </c>
    </row>
    <row r="101" s="155" customFormat="true" ht="15.75" hidden="false" customHeight="false" outlineLevel="0" collapsed="false">
      <c r="A101" s="137" t="s">
        <v>244</v>
      </c>
      <c r="B101" s="138" t="s">
        <v>245</v>
      </c>
      <c r="C101" s="82" t="n">
        <f aca="false">E96</f>
        <v>9479.29652606129</v>
      </c>
      <c r="D101" s="140" t="n">
        <v>0.05</v>
      </c>
      <c r="E101" s="84" t="n">
        <f aca="false">C101*D101</f>
        <v>473.964826303064</v>
      </c>
    </row>
    <row r="102" s="155" customFormat="true" ht="15.75" hidden="false" customHeight="false" outlineLevel="0" collapsed="false">
      <c r="A102" s="146"/>
      <c r="B102" s="195" t="s">
        <v>246</v>
      </c>
      <c r="C102" s="195"/>
      <c r="D102" s="196" t="n">
        <f aca="false">D97</f>
        <v>0.1425</v>
      </c>
      <c r="E102" s="84" t="n">
        <f aca="false">SUM(E99:E101)</f>
        <v>1350.79975496373</v>
      </c>
    </row>
    <row r="103" s="155" customFormat="true" ht="15.75" hidden="false" customHeight="true" outlineLevel="0" collapsed="false">
      <c r="A103" s="142" t="s">
        <v>247</v>
      </c>
      <c r="B103" s="142"/>
      <c r="C103" s="142"/>
      <c r="D103" s="142"/>
      <c r="E103" s="144" t="n">
        <f aca="false">+E93+E94+E102</f>
        <v>2441.63698398548</v>
      </c>
    </row>
    <row r="104" s="155" customFormat="true" ht="15.75" hidden="false" customHeight="true" outlineLevel="0" collapsed="false">
      <c r="A104" s="197" t="s">
        <v>248</v>
      </c>
      <c r="B104" s="197"/>
      <c r="C104" s="197"/>
      <c r="D104" s="197"/>
      <c r="E104" s="198" t="s">
        <v>139</v>
      </c>
    </row>
    <row r="105" s="155" customFormat="true" ht="15.75" hidden="false" customHeight="true" outlineLevel="0" collapsed="false">
      <c r="A105" s="137" t="s">
        <v>90</v>
      </c>
      <c r="B105" s="182" t="s">
        <v>249</v>
      </c>
      <c r="C105" s="182"/>
      <c r="D105" s="182"/>
      <c r="E105" s="84" t="n">
        <f aca="false">+E25</f>
        <v>3960</v>
      </c>
    </row>
    <row r="106" s="155" customFormat="true" ht="15.75" hidden="false" customHeight="true" outlineLevel="0" collapsed="false">
      <c r="A106" s="137" t="s">
        <v>92</v>
      </c>
      <c r="B106" s="182" t="s">
        <v>250</v>
      </c>
      <c r="C106" s="182"/>
      <c r="D106" s="182"/>
      <c r="E106" s="84" t="n">
        <f aca="false">+E54</f>
        <v>2510.579808</v>
      </c>
    </row>
    <row r="107" s="155" customFormat="true" ht="15.75" hidden="false" customHeight="true" outlineLevel="0" collapsed="false">
      <c r="A107" s="137" t="s">
        <v>131</v>
      </c>
      <c r="B107" s="182" t="s">
        <v>251</v>
      </c>
      <c r="C107" s="182"/>
      <c r="D107" s="182"/>
      <c r="E107" s="84" t="n">
        <f aca="false">E62</f>
        <v>338.3772682752</v>
      </c>
    </row>
    <row r="108" s="155" customFormat="true" ht="15.75" hidden="false" customHeight="true" outlineLevel="0" collapsed="false">
      <c r="A108" s="137" t="s">
        <v>153</v>
      </c>
      <c r="B108" s="182" t="s">
        <v>252</v>
      </c>
      <c r="C108" s="182"/>
      <c r="D108" s="182"/>
      <c r="E108" s="84" t="n">
        <f aca="false">E82</f>
        <v>190.077465800606</v>
      </c>
    </row>
    <row r="109" s="155" customFormat="true" ht="15.75" hidden="false" customHeight="true" outlineLevel="0" collapsed="false">
      <c r="A109" s="137" t="s">
        <v>94</v>
      </c>
      <c r="B109" s="182" t="s">
        <v>253</v>
      </c>
      <c r="C109" s="182"/>
      <c r="D109" s="182"/>
      <c r="E109" s="84" t="n">
        <f aca="false">E89</f>
        <v>38.625</v>
      </c>
    </row>
    <row r="110" customFormat="false" ht="15.75" hidden="false" customHeight="true" outlineLevel="0" collapsed="false">
      <c r="A110" s="146" t="s">
        <v>254</v>
      </c>
      <c r="B110" s="146"/>
      <c r="C110" s="146"/>
      <c r="D110" s="146"/>
      <c r="E110" s="199" t="n">
        <f aca="false">SUM(E105:E109)</f>
        <v>7037.65954207581</v>
      </c>
      <c r="F110" s="155"/>
      <c r="G110" s="155"/>
      <c r="H110" s="155"/>
      <c r="I110" s="155"/>
      <c r="J110" s="155"/>
      <c r="K110" s="155"/>
      <c r="L110" s="155"/>
      <c r="M110" s="155"/>
    </row>
    <row r="111" customFormat="false" ht="15.75" hidden="false" customHeight="true" outlineLevel="0" collapsed="false">
      <c r="A111" s="137" t="s">
        <v>158</v>
      </c>
      <c r="B111" s="182" t="s">
        <v>255</v>
      </c>
      <c r="C111" s="182"/>
      <c r="D111" s="182"/>
      <c r="E111" s="84" t="n">
        <f aca="false">+E103</f>
        <v>2441.63698398548</v>
      </c>
      <c r="F111" s="155"/>
      <c r="G111" s="155"/>
      <c r="H111" s="155"/>
      <c r="I111" s="155"/>
      <c r="J111" s="155"/>
      <c r="K111" s="155"/>
      <c r="L111" s="155"/>
      <c r="M111" s="155"/>
    </row>
    <row r="112" customFormat="false" ht="16.5" hidden="false" customHeight="true" outlineLevel="0" collapsed="false">
      <c r="A112" s="200" t="s">
        <v>256</v>
      </c>
      <c r="B112" s="200"/>
      <c r="C112" s="200"/>
      <c r="D112" s="200"/>
      <c r="E112" s="201" t="n">
        <f aca="false">+E110+E111</f>
        <v>9479.29652606129</v>
      </c>
      <c r="F112" s="155"/>
      <c r="G112" s="155"/>
      <c r="H112" s="155"/>
      <c r="I112" s="155"/>
      <c r="J112" s="155"/>
      <c r="K112" s="155"/>
      <c r="L112" s="155"/>
      <c r="M112" s="155"/>
    </row>
    <row r="113" customFormat="false" ht="15.75" hidden="false" customHeight="false" outlineLevel="0" collapsed="false">
      <c r="B113" s="204"/>
    </row>
    <row r="118" customFormat="false" ht="15.75" hidden="false" customHeight="false" outlineLevel="0" collapsed="false">
      <c r="B118" s="103"/>
      <c r="C118" s="103"/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2"/>
  <sheetViews>
    <sheetView showFormulas="false" showGridLines="true" showRowColHeaders="true" showZeros="true" rightToLeft="false" tabSelected="true" showOutlineSymbols="true" defaultGridColor="true" view="pageBreakPreview" topLeftCell="A34" colorId="64" zoomScale="100" zoomScaleNormal="115" zoomScalePageLayoutView="100" workbookViewId="0">
      <selection pane="topLeft" activeCell="K42" activeCellId="0" sqref="K42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9" width="8.71"/>
    <col collapsed="false" customWidth="true" hidden="false" outlineLevel="0" max="2" min="2" style="100" width="70.71"/>
    <col collapsed="false" customWidth="true" hidden="false" outlineLevel="0" max="3" min="3" style="100" width="12.71"/>
    <col collapsed="false" customWidth="true" hidden="false" outlineLevel="0" max="4" min="4" style="101" width="8.71"/>
    <col collapsed="false" customWidth="true" hidden="false" outlineLevel="0" max="5" min="5" style="102" width="12.71"/>
    <col collapsed="false" customWidth="false" hidden="false" outlineLevel="0" max="16384" min="6" style="103" width="9.14"/>
  </cols>
  <sheetData>
    <row r="1" customFormat="false" ht="15.75" hidden="false" customHeight="false" outlineLevel="0" collapsed="false">
      <c r="A1" s="104"/>
      <c r="B1" s="104"/>
      <c r="C1" s="104"/>
      <c r="D1" s="104"/>
      <c r="E1" s="104"/>
    </row>
    <row r="2" s="106" customFormat="true" ht="16.5" hidden="false" customHeight="true" outlineLevel="0" collapsed="false">
      <c r="A2" s="105"/>
      <c r="B2" s="105"/>
      <c r="C2" s="105"/>
      <c r="D2" s="105"/>
      <c r="E2" s="105"/>
    </row>
    <row r="3" s="106" customFormat="true" ht="15.75" hidden="false" customHeight="false" outlineLevel="0" collapsed="false">
      <c r="A3" s="107" t="s">
        <v>127</v>
      </c>
      <c r="B3" s="107"/>
      <c r="C3" s="107"/>
      <c r="D3" s="107"/>
      <c r="E3" s="107"/>
    </row>
    <row r="4" s="106" customFormat="true" ht="15" hidden="false" customHeight="true" outlineLevel="0" collapsed="false">
      <c r="A4" s="108" t="s">
        <v>90</v>
      </c>
      <c r="B4" s="109" t="s">
        <v>128</v>
      </c>
      <c r="C4" s="110" t="n">
        <v>2025</v>
      </c>
      <c r="D4" s="110"/>
      <c r="E4" s="110"/>
    </row>
    <row r="5" s="106" customFormat="true" ht="75" hidden="false" customHeight="true" outlineLevel="0" collapsed="false">
      <c r="A5" s="108" t="s">
        <v>92</v>
      </c>
      <c r="B5" s="109" t="s">
        <v>129</v>
      </c>
      <c r="C5" s="111" t="s">
        <v>130</v>
      </c>
      <c r="D5" s="111"/>
      <c r="E5" s="111"/>
    </row>
    <row r="6" s="106" customFormat="true" ht="15.75" hidden="false" customHeight="true" outlineLevel="0" collapsed="false">
      <c r="A6" s="108" t="s">
        <v>131</v>
      </c>
      <c r="B6" s="109" t="s">
        <v>132</v>
      </c>
      <c r="C6" s="111" t="s">
        <v>133</v>
      </c>
      <c r="D6" s="111"/>
      <c r="E6" s="111"/>
    </row>
    <row r="7" s="106" customFormat="true" ht="15.75" hidden="false" customHeight="false" outlineLevel="0" collapsed="false">
      <c r="A7" s="108"/>
      <c r="B7" s="109" t="s">
        <v>134</v>
      </c>
      <c r="C7" s="111" t="n">
        <v>12</v>
      </c>
      <c r="D7" s="111"/>
      <c r="E7" s="111"/>
    </row>
    <row r="8" s="106" customFormat="true" ht="15.75" hidden="false" customHeight="false" outlineLevel="0" collapsed="false">
      <c r="A8" s="107" t="s">
        <v>135</v>
      </c>
      <c r="B8" s="107"/>
      <c r="C8" s="107"/>
      <c r="D8" s="107"/>
      <c r="E8" s="107"/>
    </row>
    <row r="9" s="106" customFormat="true" ht="15.75" hidden="false" customHeight="false" outlineLevel="0" collapsed="false">
      <c r="A9" s="107" t="s">
        <v>136</v>
      </c>
      <c r="B9" s="107"/>
      <c r="C9" s="107"/>
      <c r="D9" s="107"/>
      <c r="E9" s="107"/>
    </row>
    <row r="10" s="106" customFormat="true" ht="15.75" hidden="false" customHeight="true" outlineLevel="0" collapsed="false">
      <c r="A10" s="107" t="s">
        <v>137</v>
      </c>
      <c r="B10" s="107"/>
      <c r="C10" s="107"/>
      <c r="D10" s="107"/>
      <c r="E10" s="107"/>
    </row>
    <row r="11" s="106" customFormat="true" ht="30" hidden="false" customHeight="true" outlineLevel="0" collapsed="false">
      <c r="A11" s="112" t="s">
        <v>138</v>
      </c>
      <c r="B11" s="112"/>
      <c r="C11" s="112"/>
      <c r="D11" s="112"/>
      <c r="E11" s="113" t="s">
        <v>139</v>
      </c>
    </row>
    <row r="12" s="106" customFormat="true" ht="75" hidden="false" customHeight="true" outlineLevel="0" collapsed="false">
      <c r="A12" s="108" t="n">
        <v>1</v>
      </c>
      <c r="B12" s="114" t="s">
        <v>140</v>
      </c>
      <c r="C12" s="115" t="s">
        <v>141</v>
      </c>
      <c r="D12" s="115"/>
      <c r="E12" s="115"/>
    </row>
    <row r="13" s="106" customFormat="true" ht="30" hidden="false" customHeight="true" outlineLevel="0" collapsed="false">
      <c r="A13" s="108" t="n">
        <v>2</v>
      </c>
      <c r="B13" s="114" t="s">
        <v>142</v>
      </c>
      <c r="C13" s="116" t="n">
        <v>3108.57</v>
      </c>
      <c r="D13" s="116"/>
      <c r="E13" s="116"/>
    </row>
    <row r="14" s="106" customFormat="true" ht="30" hidden="false" customHeight="true" outlineLevel="0" collapsed="false">
      <c r="A14" s="108" t="n">
        <v>3</v>
      </c>
      <c r="B14" s="114" t="s">
        <v>143</v>
      </c>
      <c r="C14" s="115" t="s">
        <v>262</v>
      </c>
      <c r="D14" s="115"/>
      <c r="E14" s="115"/>
    </row>
    <row r="15" s="106" customFormat="true" ht="15.75" hidden="false" customHeight="false" outlineLevel="0" collapsed="false">
      <c r="A15" s="108" t="n">
        <v>4</v>
      </c>
      <c r="B15" s="117" t="s">
        <v>145</v>
      </c>
      <c r="C15" s="118" t="n">
        <v>45673</v>
      </c>
      <c r="D15" s="118"/>
      <c r="E15" s="118"/>
    </row>
    <row r="16" s="120" customFormat="true" ht="15.75" hidden="false" customHeight="false" outlineLevel="0" collapsed="false">
      <c r="A16" s="119" t="s">
        <v>146</v>
      </c>
      <c r="B16" s="119"/>
      <c r="C16" s="119"/>
      <c r="D16" s="119"/>
      <c r="E16" s="119"/>
    </row>
    <row r="17" s="120" customFormat="true" ht="15.75" hidden="false" customHeight="true" outlineLevel="0" collapsed="false">
      <c r="A17" s="112" t="n">
        <v>1</v>
      </c>
      <c r="B17" s="121" t="s">
        <v>147</v>
      </c>
      <c r="C17" s="121"/>
      <c r="D17" s="121"/>
      <c r="E17" s="122" t="s">
        <v>139</v>
      </c>
    </row>
    <row r="18" s="106" customFormat="true" ht="15.75" hidden="false" customHeight="true" outlineLevel="0" collapsed="false">
      <c r="A18" s="123" t="s">
        <v>90</v>
      </c>
      <c r="B18" s="124" t="s">
        <v>148</v>
      </c>
      <c r="C18" s="117"/>
      <c r="D18" s="117"/>
      <c r="E18" s="125" t="n">
        <f aca="false">C13</f>
        <v>3108.57</v>
      </c>
    </row>
    <row r="19" s="106" customFormat="true" ht="15.75" hidden="false" customHeight="true" outlineLevel="0" collapsed="false">
      <c r="A19" s="123" t="s">
        <v>92</v>
      </c>
      <c r="B19" s="124" t="s">
        <v>149</v>
      </c>
      <c r="C19" s="126" t="s">
        <v>150</v>
      </c>
      <c r="D19" s="126"/>
      <c r="E19" s="125"/>
    </row>
    <row r="20" s="106" customFormat="true" ht="15.75" hidden="false" customHeight="true" outlineLevel="0" collapsed="false">
      <c r="A20" s="123" t="s">
        <v>131</v>
      </c>
      <c r="B20" s="124" t="s">
        <v>151</v>
      </c>
      <c r="C20" s="127" t="s">
        <v>152</v>
      </c>
      <c r="D20" s="127"/>
      <c r="E20" s="84" t="n">
        <f aca="false">40%*1621</f>
        <v>648.4</v>
      </c>
    </row>
    <row r="21" s="106" customFormat="true" ht="15.75" hidden="false" customHeight="true" outlineLevel="0" collapsed="false">
      <c r="A21" s="123" t="s">
        <v>153</v>
      </c>
      <c r="B21" s="124" t="s">
        <v>154</v>
      </c>
      <c r="C21" s="126" t="s">
        <v>155</v>
      </c>
      <c r="D21" s="126"/>
      <c r="E21" s="125"/>
    </row>
    <row r="22" s="120" customFormat="true" ht="15.75" hidden="false" customHeight="true" outlineLevel="0" collapsed="false">
      <c r="A22" s="123" t="s">
        <v>94</v>
      </c>
      <c r="B22" s="124" t="s">
        <v>156</v>
      </c>
      <c r="C22" s="126" t="s">
        <v>157</v>
      </c>
      <c r="D22" s="126"/>
      <c r="E22" s="125"/>
    </row>
    <row r="23" s="120" customFormat="true" ht="15.75" hidden="false" customHeight="false" outlineLevel="0" collapsed="false">
      <c r="A23" s="123" t="s">
        <v>158</v>
      </c>
      <c r="B23" s="124" t="s">
        <v>159</v>
      </c>
      <c r="C23" s="128"/>
      <c r="D23" s="128"/>
      <c r="E23" s="125"/>
    </row>
    <row r="24" s="106" customFormat="true" ht="15.75" hidden="false" customHeight="true" outlineLevel="0" collapsed="false">
      <c r="A24" s="123" t="s">
        <v>160</v>
      </c>
      <c r="B24" s="129" t="s">
        <v>161</v>
      </c>
      <c r="C24" s="128"/>
      <c r="D24" s="128"/>
      <c r="E24" s="125"/>
    </row>
    <row r="25" s="106" customFormat="true" ht="15.75" hidden="false" customHeight="true" outlineLevel="0" collapsed="false">
      <c r="A25" s="130" t="s">
        <v>162</v>
      </c>
      <c r="B25" s="130"/>
      <c r="C25" s="130"/>
      <c r="D25" s="130"/>
      <c r="E25" s="131" t="n">
        <f aca="false">SUM(E18:E24)</f>
        <v>3756.97</v>
      </c>
    </row>
    <row r="26" s="106" customFormat="true" ht="15.75" hidden="false" customHeight="false" outlineLevel="0" collapsed="false">
      <c r="A26" s="119" t="s">
        <v>163</v>
      </c>
      <c r="B26" s="119"/>
      <c r="C26" s="119"/>
      <c r="D26" s="119"/>
      <c r="E26" s="119"/>
    </row>
    <row r="27" customFormat="false" ht="30" hidden="false" customHeight="true" outlineLevel="0" collapsed="false">
      <c r="A27" s="132" t="n">
        <v>2</v>
      </c>
      <c r="B27" s="133" t="s">
        <v>164</v>
      </c>
      <c r="C27" s="134" t="s">
        <v>165</v>
      </c>
      <c r="D27" s="135"/>
      <c r="E27" s="136" t="s">
        <v>139</v>
      </c>
    </row>
    <row r="28" customFormat="false" ht="15.75" hidden="false" customHeight="false" outlineLevel="0" collapsed="false">
      <c r="A28" s="137" t="s">
        <v>90</v>
      </c>
      <c r="B28" s="138" t="s">
        <v>166</v>
      </c>
      <c r="C28" s="139" t="n">
        <f aca="false">E25</f>
        <v>3756.97</v>
      </c>
      <c r="D28" s="140" t="n">
        <f aca="false">1/12</f>
        <v>0.0833333333333333</v>
      </c>
      <c r="E28" s="84" t="n">
        <f aca="false">(E25)*D28</f>
        <v>313.080833333333</v>
      </c>
    </row>
    <row r="29" customFormat="false" ht="15.75" hidden="false" customHeight="false" outlineLevel="0" collapsed="false">
      <c r="A29" s="137" t="s">
        <v>92</v>
      </c>
      <c r="B29" s="141" t="s">
        <v>167</v>
      </c>
      <c r="C29" s="139" t="n">
        <f aca="false">E25</f>
        <v>3756.97</v>
      </c>
      <c r="D29" s="140" t="n">
        <v>0.1111</v>
      </c>
      <c r="E29" s="84" t="n">
        <f aca="false">(E25)*D29</f>
        <v>417.399367</v>
      </c>
    </row>
    <row r="30" customFormat="false" ht="15.75" hidden="false" customHeight="true" outlineLevel="0" collapsed="false">
      <c r="A30" s="142" t="s">
        <v>168</v>
      </c>
      <c r="B30" s="142"/>
      <c r="C30" s="142"/>
      <c r="D30" s="143" t="n">
        <f aca="false">SUM(D28:D29)</f>
        <v>0.194433333333333</v>
      </c>
      <c r="E30" s="144" t="n">
        <f aca="false">SUM(E28:E29)</f>
        <v>730.480200333333</v>
      </c>
    </row>
    <row r="31" customFormat="false" ht="30" hidden="false" customHeight="true" outlineLevel="0" collapsed="false">
      <c r="A31" s="145" t="s">
        <v>169</v>
      </c>
      <c r="B31" s="145"/>
      <c r="C31" s="145"/>
      <c r="D31" s="145"/>
      <c r="E31" s="145"/>
    </row>
    <row r="32" customFormat="false" ht="30" hidden="false" customHeight="true" outlineLevel="0" collapsed="false">
      <c r="A32" s="146" t="s">
        <v>170</v>
      </c>
      <c r="B32" s="147" t="s">
        <v>171</v>
      </c>
      <c r="C32" s="148" t="s">
        <v>165</v>
      </c>
      <c r="D32" s="149"/>
      <c r="E32" s="150" t="s">
        <v>139</v>
      </c>
    </row>
    <row r="33" customFormat="false" ht="15" hidden="false" customHeight="true" outlineLevel="0" collapsed="false">
      <c r="A33" s="137" t="s">
        <v>90</v>
      </c>
      <c r="B33" s="151" t="s">
        <v>172</v>
      </c>
      <c r="C33" s="139" t="n">
        <f aca="false">E$25+E$30</f>
        <v>4487.45020033333</v>
      </c>
      <c r="D33" s="140" t="n">
        <v>0.2</v>
      </c>
      <c r="E33" s="84" t="n">
        <f aca="false">C33*D33</f>
        <v>897.490040066667</v>
      </c>
    </row>
    <row r="34" customFormat="false" ht="15.75" hidden="false" customHeight="false" outlineLevel="0" collapsed="false">
      <c r="A34" s="137" t="s">
        <v>92</v>
      </c>
      <c r="B34" s="151" t="s">
        <v>173</v>
      </c>
      <c r="C34" s="139" t="n">
        <f aca="false">E$25+E$30</f>
        <v>4487.45020033333</v>
      </c>
      <c r="D34" s="152" t="n">
        <v>0.025</v>
      </c>
      <c r="E34" s="84" t="n">
        <f aca="false">C34*D34</f>
        <v>112.186255008333</v>
      </c>
    </row>
    <row r="35" customFormat="false" ht="35.05" hidden="false" customHeight="false" outlineLevel="0" collapsed="false">
      <c r="A35" s="137" t="s">
        <v>131</v>
      </c>
      <c r="B35" s="153" t="s">
        <v>174</v>
      </c>
      <c r="C35" s="139" t="n">
        <f aca="false">E$25+E$30</f>
        <v>4487.45020033333</v>
      </c>
      <c r="D35" s="152" t="n">
        <v>0.03</v>
      </c>
      <c r="E35" s="84" t="n">
        <f aca="false">C35*D35</f>
        <v>134.62350601</v>
      </c>
    </row>
    <row r="36" customFormat="false" ht="15.75" hidden="false" customHeight="false" outlineLevel="0" collapsed="false">
      <c r="A36" s="137" t="s">
        <v>153</v>
      </c>
      <c r="B36" s="151" t="s">
        <v>175</v>
      </c>
      <c r="C36" s="139" t="n">
        <f aca="false">E$25+E$30</f>
        <v>4487.45020033333</v>
      </c>
      <c r="D36" s="152" t="n">
        <v>0.015</v>
      </c>
      <c r="E36" s="84" t="n">
        <f aca="false">C36*D36</f>
        <v>67.311753005</v>
      </c>
    </row>
    <row r="37" customFormat="false" ht="15.75" hidden="false" customHeight="false" outlineLevel="0" collapsed="false">
      <c r="A37" s="137" t="s">
        <v>94</v>
      </c>
      <c r="B37" s="151" t="s">
        <v>176</v>
      </c>
      <c r="C37" s="139" t="n">
        <f aca="false">E$25+E$30</f>
        <v>4487.45020033333</v>
      </c>
      <c r="D37" s="152" t="n">
        <v>0.01</v>
      </c>
      <c r="E37" s="84" t="n">
        <f aca="false">C37*D37</f>
        <v>44.8745020033333</v>
      </c>
    </row>
    <row r="38" s="155" customFormat="true" ht="15.75" hidden="false" customHeight="false" outlineLevel="0" collapsed="false">
      <c r="A38" s="137" t="s">
        <v>158</v>
      </c>
      <c r="B38" s="154" t="s">
        <v>177</v>
      </c>
      <c r="C38" s="139" t="n">
        <f aca="false">E$25+E$30</f>
        <v>4487.45020033333</v>
      </c>
      <c r="D38" s="152" t="n">
        <v>0.006</v>
      </c>
      <c r="E38" s="84" t="n">
        <f aca="false">C38*D38</f>
        <v>26.924701202</v>
      </c>
    </row>
    <row r="39" s="155" customFormat="true" ht="23.85" hidden="false" customHeight="false" outlineLevel="0" collapsed="false">
      <c r="A39" s="137" t="s">
        <v>160</v>
      </c>
      <c r="B39" s="153" t="s">
        <v>178</v>
      </c>
      <c r="C39" s="139" t="n">
        <f aca="false">E$25+E$30</f>
        <v>4487.45020033333</v>
      </c>
      <c r="D39" s="152" t="n">
        <v>0.002</v>
      </c>
      <c r="E39" s="84" t="n">
        <f aca="false">C39*D39</f>
        <v>8.97490040066667</v>
      </c>
    </row>
    <row r="40" s="155" customFormat="true" ht="15.75" hidden="false" customHeight="false" outlineLevel="0" collapsed="false">
      <c r="A40" s="137" t="s">
        <v>179</v>
      </c>
      <c r="B40" s="151" t="s">
        <v>180</v>
      </c>
      <c r="C40" s="139" t="n">
        <f aca="false">E$25+E$30</f>
        <v>4487.45020033333</v>
      </c>
      <c r="D40" s="152" t="n">
        <v>0.08</v>
      </c>
      <c r="E40" s="84" t="n">
        <f aca="false">C40*D40</f>
        <v>358.996016026667</v>
      </c>
    </row>
    <row r="41" s="155" customFormat="true" ht="15.75" hidden="false" customHeight="true" outlineLevel="0" collapsed="false">
      <c r="A41" s="142" t="s">
        <v>168</v>
      </c>
      <c r="B41" s="142"/>
      <c r="C41" s="142"/>
      <c r="D41" s="156" t="n">
        <f aca="false">SUM(D33:D40)</f>
        <v>0.368</v>
      </c>
      <c r="E41" s="144" t="n">
        <f aca="false">SUM(E33:E40)</f>
        <v>1651.38167372267</v>
      </c>
    </row>
    <row r="42" s="155" customFormat="true" ht="15.75" hidden="false" customHeight="false" outlineLevel="0" collapsed="false">
      <c r="A42" s="157" t="s">
        <v>181</v>
      </c>
      <c r="B42" s="157"/>
      <c r="C42" s="157"/>
      <c r="D42" s="157"/>
      <c r="E42" s="157"/>
    </row>
    <row r="43" s="155" customFormat="true" ht="30" hidden="false" customHeight="true" outlineLevel="0" collapsed="false">
      <c r="A43" s="202" t="s">
        <v>182</v>
      </c>
      <c r="B43" s="159" t="s">
        <v>183</v>
      </c>
      <c r="C43" s="134" t="s">
        <v>165</v>
      </c>
      <c r="D43" s="135"/>
      <c r="E43" s="136" t="s">
        <v>139</v>
      </c>
    </row>
    <row r="44" s="155" customFormat="true" ht="15.75" hidden="false" customHeight="false" outlineLevel="0" collapsed="false">
      <c r="A44" s="160" t="s">
        <v>90</v>
      </c>
      <c r="B44" s="161" t="s">
        <v>184</v>
      </c>
      <c r="C44" s="162"/>
      <c r="D44" s="161"/>
      <c r="E44" s="163" t="n">
        <v>139.72</v>
      </c>
    </row>
    <row r="45" s="155" customFormat="true" ht="15.75" hidden="false" customHeight="false" outlineLevel="0" collapsed="false">
      <c r="A45" s="164" t="s">
        <v>92</v>
      </c>
      <c r="B45" s="129" t="s">
        <v>185</v>
      </c>
      <c r="C45" s="165" t="n">
        <v>626.94</v>
      </c>
      <c r="D45" s="128"/>
      <c r="E45" s="125" t="n">
        <f aca="false">C45-(C45*0.99%)</f>
        <v>620.733294</v>
      </c>
    </row>
    <row r="46" s="155" customFormat="true" ht="15.75" hidden="false" customHeight="false" outlineLevel="0" collapsed="false">
      <c r="A46" s="137" t="s">
        <v>131</v>
      </c>
      <c r="B46" s="138" t="s">
        <v>186</v>
      </c>
      <c r="C46" s="166"/>
      <c r="D46" s="167"/>
      <c r="E46" s="84" t="n">
        <v>0</v>
      </c>
    </row>
    <row r="47" s="155" customFormat="true" ht="23.85" hidden="false" customHeight="false" outlineLevel="0" collapsed="false">
      <c r="A47" s="137" t="s">
        <v>153</v>
      </c>
      <c r="B47" s="138" t="s">
        <v>187</v>
      </c>
      <c r="C47" s="166" t="s">
        <v>263</v>
      </c>
      <c r="D47" s="167"/>
      <c r="E47" s="84" t="n">
        <f aca="false">C13*50%*0.0199*2/12</f>
        <v>5.15504525</v>
      </c>
    </row>
    <row r="48" s="155" customFormat="true" ht="15.75" hidden="false" customHeight="false" outlineLevel="0" collapsed="false">
      <c r="A48" s="137" t="s">
        <v>94</v>
      </c>
      <c r="B48" s="138" t="s">
        <v>189</v>
      </c>
      <c r="C48" s="83"/>
      <c r="D48" s="167"/>
      <c r="E48" s="84" t="n">
        <v>5.82</v>
      </c>
    </row>
    <row r="49" s="155" customFormat="true" ht="15.75" hidden="false" customHeight="true" outlineLevel="0" collapsed="false">
      <c r="A49" s="142" t="s">
        <v>190</v>
      </c>
      <c r="B49" s="142"/>
      <c r="C49" s="142"/>
      <c r="D49" s="142"/>
      <c r="E49" s="144" t="n">
        <f aca="false">SUM(E44:E48)</f>
        <v>771.42833925</v>
      </c>
    </row>
    <row r="50" s="155" customFormat="true" ht="15.75" hidden="false" customHeight="true" outlineLevel="0" collapsed="false">
      <c r="A50" s="157" t="s">
        <v>191</v>
      </c>
      <c r="B50" s="157"/>
      <c r="C50" s="157"/>
      <c r="D50" s="157"/>
      <c r="E50" s="157"/>
    </row>
    <row r="51" s="155" customFormat="true" ht="15.75" hidden="false" customHeight="true" outlineLevel="0" collapsed="false">
      <c r="A51" s="112" t="s">
        <v>170</v>
      </c>
      <c r="B51" s="172" t="s">
        <v>192</v>
      </c>
      <c r="C51" s="173"/>
      <c r="D51" s="173"/>
      <c r="E51" s="174" t="n">
        <f aca="false">E30</f>
        <v>730.480200333333</v>
      </c>
    </row>
    <row r="52" s="155" customFormat="true" ht="15.75" hidden="false" customHeight="true" outlineLevel="0" collapsed="false">
      <c r="A52" s="112" t="s">
        <v>193</v>
      </c>
      <c r="B52" s="172" t="s">
        <v>194</v>
      </c>
      <c r="C52" s="173"/>
      <c r="D52" s="173"/>
      <c r="E52" s="174" t="n">
        <f aca="false">E41</f>
        <v>1651.38167372267</v>
      </c>
    </row>
    <row r="53" s="155" customFormat="true" ht="15.75" hidden="false" customHeight="true" outlineLevel="0" collapsed="false">
      <c r="A53" s="112" t="s">
        <v>182</v>
      </c>
      <c r="B53" s="172" t="s">
        <v>195</v>
      </c>
      <c r="C53" s="173"/>
      <c r="D53" s="173"/>
      <c r="E53" s="174" t="n">
        <f aca="false">E49</f>
        <v>771.42833925</v>
      </c>
    </row>
    <row r="54" s="155" customFormat="true" ht="15.75" hidden="false" customHeight="true" outlineLevel="0" collapsed="false">
      <c r="A54" s="130" t="s">
        <v>196</v>
      </c>
      <c r="B54" s="130"/>
      <c r="C54" s="130"/>
      <c r="D54" s="130"/>
      <c r="E54" s="131" t="n">
        <f aca="false">SUM(E51:E53)</f>
        <v>3153.290213306</v>
      </c>
    </row>
    <row r="55" s="155" customFormat="true" ht="15.75" hidden="false" customHeight="true" outlineLevel="0" collapsed="false">
      <c r="A55" s="119" t="s">
        <v>197</v>
      </c>
      <c r="B55" s="119"/>
      <c r="C55" s="119"/>
      <c r="D55" s="119"/>
      <c r="E55" s="119"/>
    </row>
    <row r="56" s="155" customFormat="true" ht="30" hidden="false" customHeight="true" outlineLevel="0" collapsed="false">
      <c r="A56" s="146" t="s">
        <v>198</v>
      </c>
      <c r="B56" s="147" t="s">
        <v>199</v>
      </c>
      <c r="C56" s="175" t="s">
        <v>165</v>
      </c>
      <c r="D56" s="63"/>
      <c r="E56" s="150" t="s">
        <v>139</v>
      </c>
    </row>
    <row r="57" s="155" customFormat="true" ht="15.75" hidden="false" customHeight="true" outlineLevel="0" collapsed="false">
      <c r="A57" s="137" t="s">
        <v>90</v>
      </c>
      <c r="B57" s="138" t="s">
        <v>200</v>
      </c>
      <c r="C57" s="176" t="n">
        <f aca="false">E$25+E$30</f>
        <v>4487.45020033333</v>
      </c>
      <c r="D57" s="140" t="n">
        <v>0.0046</v>
      </c>
      <c r="E57" s="84" t="n">
        <f aca="false">C57*D57</f>
        <v>20.6422709215333</v>
      </c>
    </row>
    <row r="58" s="155" customFormat="true" ht="15.75" hidden="false" customHeight="true" outlineLevel="0" collapsed="false">
      <c r="A58" s="137" t="s">
        <v>92</v>
      </c>
      <c r="B58" s="138" t="s">
        <v>201</v>
      </c>
      <c r="C58" s="176" t="n">
        <f aca="false">E$25+E$30</f>
        <v>4487.45020033333</v>
      </c>
      <c r="D58" s="140" t="n">
        <v>0.0004</v>
      </c>
      <c r="E58" s="84" t="n">
        <f aca="false">C58*D58</f>
        <v>1.79498008013333</v>
      </c>
    </row>
    <row r="59" s="155" customFormat="true" ht="15.75" hidden="false" customHeight="true" outlineLevel="0" collapsed="false">
      <c r="A59" s="137" t="s">
        <v>131</v>
      </c>
      <c r="B59" s="138" t="s">
        <v>202</v>
      </c>
      <c r="C59" s="176" t="n">
        <f aca="false">E$25+E$30</f>
        <v>4487.45020033333</v>
      </c>
      <c r="D59" s="140" t="n">
        <v>0.0194</v>
      </c>
      <c r="E59" s="84" t="n">
        <f aca="false">C59*D59</f>
        <v>87.0565338864667</v>
      </c>
    </row>
    <row r="60" s="155" customFormat="true" ht="30" hidden="false" customHeight="true" outlineLevel="0" collapsed="false">
      <c r="A60" s="137" t="s">
        <v>153</v>
      </c>
      <c r="B60" s="149" t="s">
        <v>203</v>
      </c>
      <c r="C60" s="176" t="n">
        <f aca="false">E$25+E$30</f>
        <v>4487.45020033333</v>
      </c>
      <c r="D60" s="177" t="n">
        <f aca="false">D41*D59</f>
        <v>0.0071392</v>
      </c>
      <c r="E60" s="84" t="n">
        <f aca="false">C60*D60</f>
        <v>32.0368044702197</v>
      </c>
    </row>
    <row r="61" s="155" customFormat="true" ht="32.25" hidden="false" customHeight="true" outlineLevel="0" collapsed="false">
      <c r="A61" s="137" t="s">
        <v>94</v>
      </c>
      <c r="B61" s="138" t="s">
        <v>204</v>
      </c>
      <c r="C61" s="176" t="n">
        <f aca="false">E$25+E$30</f>
        <v>4487.45020033333</v>
      </c>
      <c r="D61" s="140" t="n">
        <v>0.04</v>
      </c>
      <c r="E61" s="84" t="n">
        <f aca="false">C61*D61</f>
        <v>179.498008013333</v>
      </c>
    </row>
    <row r="62" s="155" customFormat="true" ht="15.75" hidden="false" customHeight="true" outlineLevel="0" collapsed="false">
      <c r="A62" s="130" t="s">
        <v>205</v>
      </c>
      <c r="B62" s="130"/>
      <c r="C62" s="130"/>
      <c r="D62" s="178" t="n">
        <f aca="false">SUM(D57:D61)</f>
        <v>0.0715392</v>
      </c>
      <c r="E62" s="131" t="n">
        <f aca="false">SUM(E57:E61)</f>
        <v>321.028597371687</v>
      </c>
    </row>
    <row r="63" s="155" customFormat="true" ht="15.75" hidden="false" customHeight="true" outlineLevel="0" collapsed="false">
      <c r="A63" s="119" t="s">
        <v>206</v>
      </c>
      <c r="B63" s="119"/>
      <c r="C63" s="119"/>
      <c r="D63" s="119"/>
      <c r="E63" s="119"/>
    </row>
    <row r="64" s="155" customFormat="true" ht="30" hidden="false" customHeight="true" outlineLevel="0" collapsed="false">
      <c r="A64" s="146" t="s">
        <v>207</v>
      </c>
      <c r="B64" s="179" t="s">
        <v>208</v>
      </c>
      <c r="C64" s="175" t="s">
        <v>165</v>
      </c>
      <c r="D64" s="180"/>
      <c r="E64" s="150" t="s">
        <v>139</v>
      </c>
    </row>
    <row r="65" s="155" customFormat="true" ht="15.75" hidden="false" customHeight="false" outlineLevel="0" collapsed="false">
      <c r="A65" s="137" t="s">
        <v>90</v>
      </c>
      <c r="B65" s="138" t="s">
        <v>209</v>
      </c>
      <c r="C65" s="181" t="n">
        <f aca="false">E$25+E$54+E$62+E85</f>
        <v>7267.85881067769</v>
      </c>
      <c r="D65" s="140" t="n">
        <f aca="false">D29/12</f>
        <v>0.00925833333333333</v>
      </c>
      <c r="E65" s="84" t="n">
        <f aca="false">C65*D65</f>
        <v>67.2882594888576</v>
      </c>
    </row>
    <row r="66" s="155" customFormat="true" ht="15.75" hidden="false" customHeight="false" outlineLevel="0" collapsed="false">
      <c r="A66" s="137" t="s">
        <v>92</v>
      </c>
      <c r="B66" s="138" t="s">
        <v>210</v>
      </c>
      <c r="C66" s="181" t="n">
        <f aca="false">E$25+E$54+E$62+E85</f>
        <v>7267.85881067769</v>
      </c>
      <c r="D66" s="140" t="n">
        <v>0.0139</v>
      </c>
      <c r="E66" s="84" t="n">
        <f aca="false">C66*D66</f>
        <v>101.02323746842</v>
      </c>
    </row>
    <row r="67" s="155" customFormat="true" ht="15.75" hidden="false" customHeight="false" outlineLevel="0" collapsed="false">
      <c r="A67" s="137" t="s">
        <v>131</v>
      </c>
      <c r="B67" s="138" t="s">
        <v>211</v>
      </c>
      <c r="C67" s="181" t="n">
        <f aca="false">E$25+E$54+E$62+E85</f>
        <v>7267.85881067769</v>
      </c>
      <c r="D67" s="140" t="n">
        <v>0.0013</v>
      </c>
      <c r="E67" s="84" t="n">
        <f aca="false">C67*D67</f>
        <v>9.448216453881</v>
      </c>
    </row>
    <row r="68" s="155" customFormat="true" ht="15.75" hidden="false" customHeight="false" outlineLevel="0" collapsed="false">
      <c r="A68" s="137" t="s">
        <v>153</v>
      </c>
      <c r="B68" s="138" t="s">
        <v>212</v>
      </c>
      <c r="C68" s="181" t="n">
        <f aca="false">E$25+E$54+E$62+E85</f>
        <v>7267.85881067769</v>
      </c>
      <c r="D68" s="140" t="n">
        <v>0.0002</v>
      </c>
      <c r="E68" s="84" t="n">
        <f aca="false">C68*D68</f>
        <v>1.45357176213554</v>
      </c>
    </row>
    <row r="69" s="155" customFormat="true" ht="15.75" hidden="false" customHeight="false" outlineLevel="0" collapsed="false">
      <c r="A69" s="137" t="s">
        <v>94</v>
      </c>
      <c r="B69" s="138" t="s">
        <v>213</v>
      </c>
      <c r="C69" s="181" t="n">
        <f aca="false">E$25+E$54+E$62+E85</f>
        <v>7267.85881067769</v>
      </c>
      <c r="D69" s="140" t="n">
        <v>0.0028</v>
      </c>
      <c r="E69" s="84" t="n">
        <f aca="false">C69*D69</f>
        <v>20.3500046698975</v>
      </c>
    </row>
    <row r="70" s="155" customFormat="true" ht="15.75" hidden="false" customHeight="false" outlineLevel="0" collapsed="false">
      <c r="A70" s="137" t="s">
        <v>158</v>
      </c>
      <c r="B70" s="138" t="s">
        <v>214</v>
      </c>
      <c r="C70" s="181" t="n">
        <f aca="false">E$25+E$54+E$62+E85</f>
        <v>7267.85881067769</v>
      </c>
      <c r="D70" s="140" t="n">
        <v>0.0003</v>
      </c>
      <c r="E70" s="84" t="n">
        <f aca="false">C70*D70</f>
        <v>2.18035764320331</v>
      </c>
    </row>
    <row r="71" s="155" customFormat="true" ht="15.75" hidden="false" customHeight="false" outlineLevel="0" collapsed="false">
      <c r="A71" s="137" t="s">
        <v>160</v>
      </c>
      <c r="B71" s="182" t="s">
        <v>215</v>
      </c>
      <c r="C71" s="181" t="n">
        <f aca="false">E$25+E$54+E$62+E85</f>
        <v>7267.85881067769</v>
      </c>
      <c r="D71" s="140" t="n">
        <v>0</v>
      </c>
      <c r="E71" s="84" t="n">
        <f aca="false">C71*D71</f>
        <v>0</v>
      </c>
    </row>
    <row r="72" s="155" customFormat="true" ht="15.75" hidden="false" customHeight="true" outlineLevel="0" collapsed="false">
      <c r="A72" s="142" t="s">
        <v>216</v>
      </c>
      <c r="B72" s="142"/>
      <c r="C72" s="142"/>
      <c r="D72" s="183" t="n">
        <f aca="false">SUM(D65:D71)</f>
        <v>0.0277583333333333</v>
      </c>
      <c r="E72" s="144" t="n">
        <f aca="false">SUM(E65:E71)</f>
        <v>201.743647486395</v>
      </c>
    </row>
    <row r="73" s="155" customFormat="true" ht="15.75" hidden="false" customHeight="true" outlineLevel="0" collapsed="false">
      <c r="A73" s="157" t="s">
        <v>217</v>
      </c>
      <c r="B73" s="157"/>
      <c r="C73" s="157"/>
      <c r="D73" s="157"/>
      <c r="E73" s="157"/>
    </row>
    <row r="74" s="155" customFormat="true" ht="15.75" hidden="false" customHeight="false" outlineLevel="0" collapsed="false">
      <c r="A74" s="146"/>
      <c r="B74" s="147" t="s">
        <v>217</v>
      </c>
      <c r="C74" s="149"/>
      <c r="D74" s="149"/>
      <c r="E74" s="150" t="s">
        <v>139</v>
      </c>
    </row>
    <row r="75" s="155" customFormat="true" ht="15.75" hidden="false" customHeight="true" outlineLevel="0" collapsed="false">
      <c r="A75" s="137" t="s">
        <v>90</v>
      </c>
      <c r="B75" s="138" t="s">
        <v>218</v>
      </c>
      <c r="C75" s="166"/>
      <c r="D75" s="140" t="n">
        <v>0</v>
      </c>
      <c r="E75" s="84" t="n">
        <f aca="false">(E$25+E$54+E$62+E85)*D75</f>
        <v>0</v>
      </c>
    </row>
    <row r="76" s="155" customFormat="true" ht="15.75" hidden="false" customHeight="true" outlineLevel="0" collapsed="false">
      <c r="A76" s="142" t="s">
        <v>219</v>
      </c>
      <c r="B76" s="142"/>
      <c r="C76" s="142"/>
      <c r="D76" s="143" t="n">
        <f aca="false">SUM(D75)</f>
        <v>0</v>
      </c>
      <c r="E76" s="144" t="n">
        <f aca="false">SUM(E75)</f>
        <v>0</v>
      </c>
    </row>
    <row r="77" s="155" customFormat="true" ht="15.75" hidden="false" customHeight="true" outlineLevel="0" collapsed="false">
      <c r="A77" s="184" t="s">
        <v>220</v>
      </c>
      <c r="B77" s="184"/>
      <c r="C77" s="184"/>
      <c r="D77" s="184"/>
      <c r="E77" s="184"/>
    </row>
    <row r="78" s="155" customFormat="true" ht="15.75" hidden="false" customHeight="true" outlineLevel="0" collapsed="false">
      <c r="A78" s="146" t="n">
        <v>4</v>
      </c>
      <c r="B78" s="185" t="s">
        <v>221</v>
      </c>
      <c r="C78" s="195"/>
      <c r="D78" s="187"/>
      <c r="E78" s="150" t="s">
        <v>139</v>
      </c>
    </row>
    <row r="79" s="155" customFormat="true" ht="15.75" hidden="false" customHeight="true" outlineLevel="0" collapsed="false">
      <c r="A79" s="137" t="s">
        <v>207</v>
      </c>
      <c r="B79" s="138" t="s">
        <v>208</v>
      </c>
      <c r="C79" s="195"/>
      <c r="D79" s="140" t="n">
        <f aca="false">D72</f>
        <v>0.0277583333333333</v>
      </c>
      <c r="E79" s="84" t="n">
        <f aca="false">E72</f>
        <v>201.743647486395</v>
      </c>
    </row>
    <row r="80" s="155" customFormat="true" ht="15.75" hidden="false" customHeight="true" outlineLevel="0" collapsed="false">
      <c r="A80" s="137" t="s">
        <v>222</v>
      </c>
      <c r="B80" s="138" t="s">
        <v>217</v>
      </c>
      <c r="C80" s="195"/>
      <c r="D80" s="140" t="n">
        <v>0</v>
      </c>
      <c r="E80" s="84" t="n">
        <f aca="false">(D$25+D$53+D$61)*D80</f>
        <v>0</v>
      </c>
    </row>
    <row r="81" s="155" customFormat="true" ht="15.75" hidden="false" customHeight="true" outlineLevel="0" collapsed="false">
      <c r="A81" s="142" t="s">
        <v>168</v>
      </c>
      <c r="B81" s="142"/>
      <c r="C81" s="142"/>
      <c r="D81" s="143" t="n">
        <f aca="false">SUM(D79:D80)</f>
        <v>0.0277583333333333</v>
      </c>
      <c r="E81" s="144" t="n">
        <f aca="false">SUM(E79:E80)</f>
        <v>201.743647486395</v>
      </c>
    </row>
    <row r="82" s="155" customFormat="true" ht="15.75" hidden="false" customHeight="true" outlineLevel="0" collapsed="false">
      <c r="A82" s="130" t="s">
        <v>223</v>
      </c>
      <c r="B82" s="130"/>
      <c r="C82" s="130"/>
      <c r="D82" s="130"/>
      <c r="E82" s="131" t="n">
        <f aca="false">SUM(E72+E76)</f>
        <v>201.743647486395</v>
      </c>
    </row>
    <row r="83" s="155" customFormat="true" ht="15.75" hidden="false" customHeight="true" outlineLevel="0" collapsed="false">
      <c r="A83" s="119" t="s">
        <v>224</v>
      </c>
      <c r="B83" s="119"/>
      <c r="C83" s="119"/>
      <c r="D83" s="119"/>
      <c r="E83" s="119"/>
    </row>
    <row r="84" s="155" customFormat="true" ht="15.75" hidden="false" customHeight="true" outlineLevel="0" collapsed="false">
      <c r="A84" s="146" t="n">
        <v>5</v>
      </c>
      <c r="B84" s="147" t="s">
        <v>225</v>
      </c>
      <c r="C84" s="149"/>
      <c r="D84" s="149"/>
      <c r="E84" s="150" t="s">
        <v>139</v>
      </c>
    </row>
    <row r="85" s="155" customFormat="true" ht="15.75" hidden="false" customHeight="true" outlineLevel="0" collapsed="false">
      <c r="A85" s="164" t="s">
        <v>90</v>
      </c>
      <c r="B85" s="129" t="s">
        <v>226</v>
      </c>
      <c r="C85" s="188"/>
      <c r="D85" s="189"/>
      <c r="E85" s="84" t="n">
        <f aca="false">'[1]EPI''s e Uniformes'!H7</f>
        <v>36.57</v>
      </c>
    </row>
    <row r="86" s="155" customFormat="true" ht="15.75" hidden="false" customHeight="true" outlineLevel="0" collapsed="false">
      <c r="A86" s="164" t="s">
        <v>92</v>
      </c>
      <c r="B86" s="129" t="s">
        <v>227</v>
      </c>
      <c r="C86" s="188"/>
      <c r="D86" s="189"/>
      <c r="E86" s="84" t="n">
        <v>0</v>
      </c>
    </row>
    <row r="87" s="155" customFormat="true" ht="15.75" hidden="false" customHeight="true" outlineLevel="0" collapsed="false">
      <c r="A87" s="164" t="s">
        <v>131</v>
      </c>
      <c r="B87" s="129" t="s">
        <v>228</v>
      </c>
      <c r="C87" s="188"/>
      <c r="D87" s="189"/>
      <c r="E87" s="84" t="n">
        <v>0</v>
      </c>
    </row>
    <row r="88" s="155" customFormat="true" ht="15.75" hidden="false" customHeight="true" outlineLevel="0" collapsed="false">
      <c r="A88" s="164" t="s">
        <v>153</v>
      </c>
      <c r="B88" s="129" t="s">
        <v>229</v>
      </c>
      <c r="C88" s="188"/>
      <c r="D88" s="189"/>
      <c r="E88" s="84" t="n">
        <v>0</v>
      </c>
    </row>
    <row r="89" s="155" customFormat="true" ht="15.75" hidden="false" customHeight="true" outlineLevel="0" collapsed="false">
      <c r="A89" s="130" t="s">
        <v>230</v>
      </c>
      <c r="B89" s="130"/>
      <c r="C89" s="130"/>
      <c r="D89" s="130"/>
      <c r="E89" s="131" t="n">
        <f aca="false">SUM(E85:E88)</f>
        <v>36.57</v>
      </c>
    </row>
    <row r="90" s="155" customFormat="true" ht="23.25" hidden="false" customHeight="true" outlineLevel="0" collapsed="false">
      <c r="A90" s="132" t="s">
        <v>231</v>
      </c>
      <c r="B90" s="132"/>
      <c r="C90" s="132"/>
      <c r="D90" s="132"/>
      <c r="E90" s="190" t="n">
        <f aca="false">E89+E82+E62+E54+E25</f>
        <v>7469.60245816409</v>
      </c>
    </row>
    <row r="91" s="155" customFormat="true" ht="19.5" hidden="false" customHeight="true" outlineLevel="0" collapsed="false">
      <c r="A91" s="119" t="s">
        <v>232</v>
      </c>
      <c r="B91" s="119"/>
      <c r="C91" s="119"/>
      <c r="D91" s="119"/>
      <c r="E91" s="119"/>
    </row>
    <row r="92" s="155" customFormat="true" ht="30" hidden="false" customHeight="true" outlineLevel="0" collapsed="false">
      <c r="A92" s="146" t="n">
        <v>6</v>
      </c>
      <c r="B92" s="147" t="s">
        <v>233</v>
      </c>
      <c r="C92" s="148" t="s">
        <v>165</v>
      </c>
      <c r="D92" s="148"/>
      <c r="E92" s="150" t="s">
        <v>139</v>
      </c>
    </row>
    <row r="93" s="155" customFormat="true" ht="15.75" hidden="false" customHeight="false" outlineLevel="0" collapsed="false">
      <c r="A93" s="137" t="s">
        <v>90</v>
      </c>
      <c r="B93" s="138" t="s">
        <v>234</v>
      </c>
      <c r="C93" s="191" t="n">
        <f aca="false">E90</f>
        <v>7469.60245816409</v>
      </c>
      <c r="D93" s="140" t="n">
        <v>0.05</v>
      </c>
      <c r="E93" s="84" t="n">
        <f aca="false">+C93*D93</f>
        <v>373.480122908204</v>
      </c>
    </row>
    <row r="94" s="155" customFormat="true" ht="15.75" hidden="false" customHeight="false" outlineLevel="0" collapsed="false">
      <c r="A94" s="137" t="s">
        <v>92</v>
      </c>
      <c r="B94" s="138" t="s">
        <v>235</v>
      </c>
      <c r="C94" s="191" t="n">
        <f aca="false">E90+E93</f>
        <v>7843.08258107229</v>
      </c>
      <c r="D94" s="140" t="n">
        <v>0.1</v>
      </c>
      <c r="E94" s="84" t="n">
        <f aca="false">D94*(C94)</f>
        <v>784.308258107229</v>
      </c>
    </row>
    <row r="95" s="155" customFormat="true" ht="30.75" hidden="false" customHeight="true" outlineLevel="0" collapsed="false">
      <c r="A95" s="137"/>
      <c r="B95" s="138" t="s">
        <v>236</v>
      </c>
      <c r="C95" s="138"/>
      <c r="D95" s="140" t="n">
        <f aca="false">1-D102</f>
        <v>0.8575</v>
      </c>
      <c r="E95" s="84" t="n">
        <f aca="false">+E90+E93+E94</f>
        <v>8627.39083917952</v>
      </c>
    </row>
    <row r="96" s="155" customFormat="true" ht="15.75" hidden="false" customHeight="false" outlineLevel="0" collapsed="false">
      <c r="A96" s="137"/>
      <c r="B96" s="182"/>
      <c r="C96" s="192"/>
      <c r="D96" s="83"/>
      <c r="E96" s="193" t="n">
        <f aca="false">+E95/D95</f>
        <v>10061.0971885475</v>
      </c>
    </row>
    <row r="97" s="155" customFormat="true" ht="15.75" hidden="false" customHeight="false" outlineLevel="0" collapsed="false">
      <c r="A97" s="137" t="s">
        <v>131</v>
      </c>
      <c r="B97" s="182" t="s">
        <v>237</v>
      </c>
      <c r="C97" s="192"/>
      <c r="D97" s="194" t="n">
        <f aca="false">D99+D100+D101</f>
        <v>0.1425</v>
      </c>
      <c r="E97" s="193"/>
    </row>
    <row r="98" s="155" customFormat="true" ht="15.75" hidden="false" customHeight="false" outlineLevel="0" collapsed="false">
      <c r="A98" s="137" t="s">
        <v>238</v>
      </c>
      <c r="B98" s="182" t="s">
        <v>239</v>
      </c>
      <c r="C98" s="182"/>
      <c r="D98" s="194" t="n">
        <f aca="false">D99+D100</f>
        <v>0.0925</v>
      </c>
      <c r="E98" s="84"/>
    </row>
    <row r="99" s="155" customFormat="true" ht="15.75" hidden="false" customHeight="false" outlineLevel="0" collapsed="false">
      <c r="A99" s="137" t="s">
        <v>240</v>
      </c>
      <c r="B99" s="138" t="s">
        <v>241</v>
      </c>
      <c r="C99" s="82" t="n">
        <f aca="false">E96</f>
        <v>10061.0971885475</v>
      </c>
      <c r="D99" s="140" t="n">
        <v>0.0165</v>
      </c>
      <c r="E99" s="84" t="n">
        <f aca="false">C99*D99</f>
        <v>166.008103611034</v>
      </c>
    </row>
    <row r="100" s="155" customFormat="true" ht="15.75" hidden="false" customHeight="false" outlineLevel="0" collapsed="false">
      <c r="A100" s="137" t="s">
        <v>242</v>
      </c>
      <c r="B100" s="138" t="s">
        <v>243</v>
      </c>
      <c r="C100" s="82" t="n">
        <f aca="false">E96</f>
        <v>10061.0971885475</v>
      </c>
      <c r="D100" s="140" t="n">
        <v>0.076</v>
      </c>
      <c r="E100" s="84" t="n">
        <f aca="false">C100*D100</f>
        <v>764.643386329613</v>
      </c>
    </row>
    <row r="101" s="155" customFormat="true" ht="15.75" hidden="false" customHeight="false" outlineLevel="0" collapsed="false">
      <c r="A101" s="137" t="s">
        <v>244</v>
      </c>
      <c r="B101" s="138" t="s">
        <v>245</v>
      </c>
      <c r="C101" s="82" t="n">
        <f aca="false">E96</f>
        <v>10061.0971885475</v>
      </c>
      <c r="D101" s="140" t="n">
        <v>0.05</v>
      </c>
      <c r="E101" s="84" t="n">
        <f aca="false">C101*D101</f>
        <v>503.054859427377</v>
      </c>
    </row>
    <row r="102" s="155" customFormat="true" ht="15.75" hidden="false" customHeight="false" outlineLevel="0" collapsed="false">
      <c r="A102" s="146"/>
      <c r="B102" s="195" t="s">
        <v>246</v>
      </c>
      <c r="C102" s="195"/>
      <c r="D102" s="196" t="n">
        <f aca="false">D97</f>
        <v>0.1425</v>
      </c>
      <c r="E102" s="84" t="n">
        <f aca="false">SUM(E99:E101)</f>
        <v>1433.70634936802</v>
      </c>
    </row>
    <row r="103" s="155" customFormat="true" ht="15.75" hidden="false" customHeight="true" outlineLevel="0" collapsed="false">
      <c r="A103" s="142" t="s">
        <v>247</v>
      </c>
      <c r="B103" s="142"/>
      <c r="C103" s="142"/>
      <c r="D103" s="142"/>
      <c r="E103" s="144" t="n">
        <f aca="false">+E93+E94+E102</f>
        <v>2591.49473038346</v>
      </c>
    </row>
    <row r="104" s="155" customFormat="true" ht="15.75" hidden="false" customHeight="true" outlineLevel="0" collapsed="false">
      <c r="A104" s="197" t="s">
        <v>248</v>
      </c>
      <c r="B104" s="197"/>
      <c r="C104" s="197"/>
      <c r="D104" s="197"/>
      <c r="E104" s="198" t="s">
        <v>139</v>
      </c>
    </row>
    <row r="105" s="155" customFormat="true" ht="15.75" hidden="false" customHeight="true" outlineLevel="0" collapsed="false">
      <c r="A105" s="137" t="s">
        <v>90</v>
      </c>
      <c r="B105" s="182" t="s">
        <v>249</v>
      </c>
      <c r="C105" s="182"/>
      <c r="D105" s="182"/>
      <c r="E105" s="84" t="n">
        <f aca="false">+E25</f>
        <v>3756.97</v>
      </c>
    </row>
    <row r="106" s="155" customFormat="true" ht="15.75" hidden="false" customHeight="true" outlineLevel="0" collapsed="false">
      <c r="A106" s="137" t="s">
        <v>92</v>
      </c>
      <c r="B106" s="182" t="s">
        <v>250</v>
      </c>
      <c r="C106" s="182"/>
      <c r="D106" s="182"/>
      <c r="E106" s="84" t="n">
        <f aca="false">+E54</f>
        <v>3153.290213306</v>
      </c>
    </row>
    <row r="107" s="155" customFormat="true" ht="15.75" hidden="false" customHeight="true" outlineLevel="0" collapsed="false">
      <c r="A107" s="137" t="s">
        <v>131</v>
      </c>
      <c r="B107" s="182" t="s">
        <v>251</v>
      </c>
      <c r="C107" s="182"/>
      <c r="D107" s="182"/>
      <c r="E107" s="84" t="n">
        <f aca="false">E62</f>
        <v>321.028597371687</v>
      </c>
    </row>
    <row r="108" s="155" customFormat="true" ht="15.75" hidden="false" customHeight="true" outlineLevel="0" collapsed="false">
      <c r="A108" s="137" t="s">
        <v>153</v>
      </c>
      <c r="B108" s="182" t="s">
        <v>252</v>
      </c>
      <c r="C108" s="182"/>
      <c r="D108" s="182"/>
      <c r="E108" s="84" t="n">
        <f aca="false">E82</f>
        <v>201.743647486395</v>
      </c>
    </row>
    <row r="109" s="155" customFormat="true" ht="15.75" hidden="false" customHeight="true" outlineLevel="0" collapsed="false">
      <c r="A109" s="137" t="s">
        <v>94</v>
      </c>
      <c r="B109" s="182" t="s">
        <v>253</v>
      </c>
      <c r="C109" s="182"/>
      <c r="D109" s="182"/>
      <c r="E109" s="84" t="n">
        <f aca="false">E89</f>
        <v>36.57</v>
      </c>
    </row>
    <row r="110" customFormat="false" ht="15.75" hidden="false" customHeight="true" outlineLevel="0" collapsed="false">
      <c r="A110" s="146" t="s">
        <v>254</v>
      </c>
      <c r="B110" s="146"/>
      <c r="C110" s="146"/>
      <c r="D110" s="146"/>
      <c r="E110" s="199" t="n">
        <f aca="false">SUM(E105:E109)</f>
        <v>7469.60245816409</v>
      </c>
    </row>
    <row r="111" customFormat="false" ht="15.75" hidden="false" customHeight="true" outlineLevel="0" collapsed="false">
      <c r="A111" s="137" t="s">
        <v>158</v>
      </c>
      <c r="B111" s="182" t="s">
        <v>255</v>
      </c>
      <c r="C111" s="182"/>
      <c r="D111" s="182"/>
      <c r="E111" s="84" t="n">
        <f aca="false">+E103</f>
        <v>2591.49473038346</v>
      </c>
    </row>
    <row r="112" customFormat="false" ht="16.5" hidden="false" customHeight="true" outlineLevel="0" collapsed="false">
      <c r="A112" s="200" t="s">
        <v>256</v>
      </c>
      <c r="B112" s="200"/>
      <c r="C112" s="200"/>
      <c r="D112" s="200"/>
      <c r="E112" s="201" t="n">
        <f aca="false">+E110+E111</f>
        <v>10061.0971885475</v>
      </c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15" activeCellId="0" sqref="K15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40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208" t="s">
        <v>264</v>
      </c>
      <c r="B1" s="208"/>
      <c r="C1" s="208"/>
      <c r="D1" s="208"/>
      <c r="E1" s="208"/>
      <c r="F1" s="208"/>
      <c r="G1" s="208"/>
      <c r="H1" s="208"/>
    </row>
    <row r="2" customFormat="false" ht="30" hidden="false" customHeight="true" outlineLevel="0" collapsed="false">
      <c r="A2" s="209" t="s">
        <v>265</v>
      </c>
      <c r="B2" s="210" t="s">
        <v>266</v>
      </c>
      <c r="C2" s="210" t="s">
        <v>267</v>
      </c>
      <c r="D2" s="210" t="s">
        <v>268</v>
      </c>
      <c r="E2" s="210" t="s">
        <v>268</v>
      </c>
      <c r="F2" s="210" t="s">
        <v>269</v>
      </c>
      <c r="G2" s="210" t="s">
        <v>270</v>
      </c>
      <c r="H2" s="211" t="s">
        <v>271</v>
      </c>
    </row>
    <row r="3" customFormat="false" ht="15" hidden="false" customHeight="true" outlineLevel="0" collapsed="false">
      <c r="A3" s="212" t="n">
        <v>1</v>
      </c>
      <c r="B3" s="46" t="s">
        <v>272</v>
      </c>
      <c r="C3" s="46" t="s">
        <v>273</v>
      </c>
      <c r="D3" s="46" t="n">
        <v>2</v>
      </c>
      <c r="E3" s="46" t="n">
        <f aca="false">D3*2</f>
        <v>4</v>
      </c>
      <c r="F3" s="213" t="n">
        <v>47.6</v>
      </c>
      <c r="G3" s="214" t="n">
        <f aca="false">F3*E3</f>
        <v>190.4</v>
      </c>
      <c r="H3" s="215" t="n">
        <f aca="false">G3/12</f>
        <v>15.8666666666667</v>
      </c>
    </row>
    <row r="4" customFormat="false" ht="15" hidden="false" customHeight="true" outlineLevel="0" collapsed="false">
      <c r="A4" s="212" t="n">
        <v>2</v>
      </c>
      <c r="B4" s="216" t="s">
        <v>274</v>
      </c>
      <c r="C4" s="46" t="s">
        <v>273</v>
      </c>
      <c r="D4" s="217" t="n">
        <v>2</v>
      </c>
      <c r="E4" s="46" t="n">
        <f aca="false">D4*2</f>
        <v>4</v>
      </c>
      <c r="F4" s="218" t="n">
        <v>33</v>
      </c>
      <c r="G4" s="214" t="n">
        <f aca="false">F4*E4</f>
        <v>132</v>
      </c>
      <c r="H4" s="215" t="n">
        <f aca="false">G4/12</f>
        <v>11</v>
      </c>
    </row>
    <row r="5" customFormat="false" ht="15" hidden="false" customHeight="true" outlineLevel="0" collapsed="false">
      <c r="A5" s="212" t="n">
        <v>3</v>
      </c>
      <c r="B5" s="216" t="s">
        <v>275</v>
      </c>
      <c r="C5" s="46" t="s">
        <v>273</v>
      </c>
      <c r="D5" s="217" t="n">
        <v>1</v>
      </c>
      <c r="E5" s="46" t="n">
        <f aca="false">D5*2</f>
        <v>2</v>
      </c>
      <c r="F5" s="218" t="n">
        <v>8</v>
      </c>
      <c r="G5" s="214" t="n">
        <f aca="false">F5*E5</f>
        <v>16</v>
      </c>
      <c r="H5" s="215" t="n">
        <f aca="false">G5/12</f>
        <v>1.33333333333333</v>
      </c>
    </row>
    <row r="6" customFormat="false" ht="15" hidden="false" customHeight="true" outlineLevel="0" collapsed="false">
      <c r="A6" s="219" t="n">
        <v>4</v>
      </c>
      <c r="B6" s="220" t="s">
        <v>276</v>
      </c>
      <c r="C6" s="221" t="s">
        <v>273</v>
      </c>
      <c r="D6" s="222" t="n">
        <v>1</v>
      </c>
      <c r="E6" s="221" t="n">
        <f aca="false">D6*2</f>
        <v>2</v>
      </c>
      <c r="F6" s="223" t="n">
        <v>62.55</v>
      </c>
      <c r="G6" s="224" t="n">
        <f aca="false">F6*E6</f>
        <v>125.1</v>
      </c>
      <c r="H6" s="225" t="n">
        <f aca="false">G6/12</f>
        <v>10.425</v>
      </c>
    </row>
    <row r="7" customFormat="false" ht="15" hidden="false" customHeight="true" outlineLevel="0" collapsed="false">
      <c r="A7" s="226" t="s">
        <v>277</v>
      </c>
      <c r="B7" s="226"/>
      <c r="C7" s="226"/>
      <c r="D7" s="226"/>
      <c r="E7" s="226"/>
      <c r="F7" s="226"/>
      <c r="G7" s="226"/>
      <c r="H7" s="227" t="n">
        <f aca="false">SUM(H3:H6)</f>
        <v>38.625</v>
      </c>
    </row>
    <row r="8" customFormat="false" ht="15" hidden="false" customHeight="true" outlineLevel="0" collapsed="false">
      <c r="A8" s="228" t="s">
        <v>278</v>
      </c>
      <c r="B8" s="228"/>
      <c r="C8" s="228"/>
      <c r="D8" s="228"/>
      <c r="E8" s="228"/>
      <c r="F8" s="228"/>
      <c r="G8" s="228"/>
      <c r="H8" s="228"/>
    </row>
    <row r="9" customFormat="false" ht="15" hidden="false" customHeight="true" outlineLevel="0" collapsed="false">
      <c r="A9" s="229" t="s">
        <v>279</v>
      </c>
      <c r="B9" s="229"/>
      <c r="C9" s="229"/>
      <c r="D9" s="229"/>
      <c r="E9" s="229"/>
      <c r="F9" s="229"/>
      <c r="G9" s="229"/>
      <c r="H9" s="229"/>
    </row>
    <row r="10" customFormat="false" ht="15" hidden="false" customHeight="false" outlineLevel="0" collapsed="false">
      <c r="A10" s="229"/>
      <c r="B10" s="229"/>
      <c r="C10" s="229"/>
      <c r="D10" s="229"/>
      <c r="E10" s="229"/>
      <c r="F10" s="229"/>
      <c r="G10" s="229"/>
      <c r="H10" s="229"/>
    </row>
    <row r="11" customFormat="false" ht="15" hidden="false" customHeight="false" outlineLevel="0" collapsed="false">
      <c r="A11" s="229"/>
      <c r="B11" s="229"/>
      <c r="C11" s="229"/>
      <c r="D11" s="229"/>
      <c r="E11" s="229"/>
      <c r="F11" s="229"/>
      <c r="G11" s="229"/>
      <c r="H11" s="229"/>
    </row>
    <row r="12" customFormat="false" ht="15" hidden="false" customHeight="false" outlineLevel="0" collapsed="false">
      <c r="A12" s="229"/>
      <c r="B12" s="229"/>
      <c r="C12" s="229"/>
      <c r="D12" s="229"/>
      <c r="E12" s="229"/>
      <c r="F12" s="229"/>
      <c r="G12" s="229"/>
      <c r="H12" s="229"/>
    </row>
    <row r="13" customFormat="false" ht="15" hidden="false" customHeight="false" outlineLevel="0" collapsed="false">
      <c r="A13" s="229"/>
      <c r="B13" s="229"/>
      <c r="C13" s="229"/>
      <c r="D13" s="229"/>
      <c r="E13" s="229"/>
      <c r="F13" s="229"/>
      <c r="G13" s="229"/>
      <c r="H13" s="229"/>
    </row>
    <row r="14" customFormat="false" ht="15" hidden="false" customHeight="false" outlineLevel="0" collapsed="false">
      <c r="A14" s="229"/>
      <c r="B14" s="229"/>
      <c r="C14" s="229"/>
      <c r="D14" s="229"/>
      <c r="E14" s="229"/>
      <c r="F14" s="229"/>
      <c r="G14" s="229"/>
      <c r="H14" s="229"/>
    </row>
    <row r="15" customFormat="false" ht="15" hidden="false" customHeight="false" outlineLevel="0" collapsed="false">
      <c r="A15" s="229"/>
      <c r="B15" s="229"/>
      <c r="C15" s="229"/>
      <c r="D15" s="229"/>
      <c r="E15" s="229"/>
      <c r="F15" s="229"/>
      <c r="G15" s="229"/>
      <c r="H15" s="229"/>
    </row>
    <row r="16" customFormat="false" ht="15" hidden="false" customHeight="false" outlineLevel="0" collapsed="false">
      <c r="A16" s="229"/>
      <c r="B16" s="229"/>
      <c r="C16" s="229"/>
      <c r="D16" s="229"/>
      <c r="E16" s="229"/>
      <c r="F16" s="229"/>
      <c r="G16" s="229"/>
      <c r="H16" s="229"/>
    </row>
  </sheetData>
  <mergeCells count="4">
    <mergeCell ref="A1:H1"/>
    <mergeCell ref="A7:G7"/>
    <mergeCell ref="A8:H8"/>
    <mergeCell ref="A9:H16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2025-05-05T14:40:11Z</cp:lastPrinted>
  <dcterms:modified xsi:type="dcterms:W3CDTF">2026-03-04T13:37:30Z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