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6"/>
  </bookViews>
  <sheets>
    <sheet name="Plan2" sheetId="1" state="hidden" r:id="rId3"/>
    <sheet name="Plan3" sheetId="2" state="hidden" r:id="rId4"/>
    <sheet name="PLANILHA " sheetId="3" state="visible" r:id="rId5"/>
    <sheet name="Agente de Coleta - Diurno " sheetId="4" state="visible" r:id="rId6"/>
    <sheet name="Agente de Coleta - Noturno" sheetId="5" state="visible" r:id="rId7"/>
    <sheet name="Motorista" sheetId="6" state="visible" r:id="rId8"/>
    <sheet name="Responsavel Tecnico" sheetId="7" state="visible" r:id="rId9"/>
    <sheet name="EPI's e Uniformes" sheetId="8" state="visible" r:id="rId10"/>
    <sheet name="Materiais" sheetId="9" state="visible" r:id="rId11"/>
    <sheet name="Material Permanentes" sheetId="10" state="visible" r:id="rId12"/>
  </sheets>
  <definedNames>
    <definedName function="false" hidden="false" localSheetId="3" name="_xlnm.Print_Area" vbProcedure="false">'Agente de Coleta - Diurno '!$A$1:$E$112</definedName>
    <definedName function="false" hidden="false" localSheetId="3" name="_xlnm.Print_Titles" vbProcedure="false">'Agente de Coleta - Diurno '!$1:$1</definedName>
    <definedName function="false" hidden="false" localSheetId="4" name="_xlnm.Print_Area" vbProcedure="false">'Agente de Coleta - Noturno'!$A$1:$E$112</definedName>
    <definedName function="false" hidden="false" localSheetId="4" name="_xlnm.Print_Titles" vbProcedure="false">'Agente de Coleta - Noturno'!$1:$1</definedName>
    <definedName function="false" hidden="false" localSheetId="7" name="_xlnm.Print_Area" vbProcedure="false">'EPI''s e Uniformes'!$A$1:$H$16</definedName>
    <definedName function="false" hidden="false" localSheetId="8" name="_xlnm.Print_Area" vbProcedure="false">Materiais!$A$1:$H$19</definedName>
    <definedName function="false" hidden="false" localSheetId="9" name="_xlnm.Print_Area" vbProcedure="false">'Material Permanentes'!$A$1:$H$33</definedName>
    <definedName function="false" hidden="false" localSheetId="5" name="_xlnm.Print_Area" vbProcedure="false">Motorista!$A$1:$E$112</definedName>
    <definedName function="false" hidden="false" localSheetId="5" name="_xlnm.Print_Titles" vbProcedure="false">Motorista!$1:$1</definedName>
    <definedName function="false" hidden="false" localSheetId="2" name="_xlnm.Print_Area" vbProcedure="false">'PLANILHA '!$A$1:$K$25</definedName>
    <definedName function="false" hidden="false" localSheetId="6" name="_xlnm.Print_Area" vbProcedure="false">'Responsavel Tecnico'!$A$1:$E$119</definedName>
    <definedName function="false" hidden="false" localSheetId="6" name="_xlnm.Print_Titles" vbProcedure="false">'Responsavel Tecnico'!$1:$1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<sst xmlns="http://schemas.openxmlformats.org/spreadsheetml/2006/main" count="1052" uniqueCount="328">
  <si>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</si>
  <si>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</si>
  <si>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</si>
  <si>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</si>
  <si>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</si>
  <si>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</si>
  <si>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</si>
  <si>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</si>
  <si>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</si>
  <si>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</si>
  <si>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</si>
  <si>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</si>
  <si>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</si>
  <si>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</si>
  <si>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</si>
  <si>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</si>
  <si>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</si>
  <si>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</si>
  <si>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</si>
  <si>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</si>
  <si>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</si>
  <si>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</si>
  <si>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</si>
  <si>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</si>
  <si>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</si>
  <si>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</si>
  <si>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</si>
  <si>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</si>
  <si>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</si>
  <si>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</si>
  <si>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</si>
  <si>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</si>
  <si>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</si>
  <si>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</si>
  <si>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</si>
  <si>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</si>
  <si>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</si>
  <si>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</si>
  <si>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</si>
  <si>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</si>
  <si>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</si>
  <si>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</si>
  <si>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</si>
  <si>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</si>
  <si>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</si>
  <si>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</si>
  <si>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</si>
  <si>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</si>
  <si>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</si>
  <si>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</si>
  <si>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</si>
  <si>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</si>
  <si>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</si>
  <si>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</si>
  <si>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</si>
  <si>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</si>
  <si>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</si>
  <si>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</si>
  <si>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</si>
  <si>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</si>
  <si>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</si>
  <si>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</si>
  <si>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</si>
  <si>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</si>
  <si>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</si>
  <si>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</si>
  <si>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</si>
  <si>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</si>
  <si>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</si>
  <si>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</si>
  <si>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</si>
  <si>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</si>
  <si>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</si>
  <si>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</si>
  <si>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</si>
  <si>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</si>
  <si>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</si>
  <si>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</si>
  <si>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Hospital Regional de Cacoal - HRC</t>
  </si>
  <si>
    <t xml:space="preserve">ITEM</t>
  </si>
  <si>
    <t xml:space="preserve">UNIDADE</t>
  </si>
  <si>
    <t xml:space="preserve">SUBGRUPO</t>
  </si>
  <si>
    <t xml:space="preserve">GRUPO</t>
  </si>
  <si>
    <t xml:space="preserve">QUANTIDADE
MENSAL</t>
  </si>
  <si>
    <t xml:space="preserve">QUANTIDADE
TOTAL
MENSAL</t>
  </si>
  <si>
    <t xml:space="preserve">QUANTIDADE
TOTAL
ANUAL</t>
  </si>
  <si>
    <t xml:space="preserve">VALOR
UNITÁRIO</t>
  </si>
  <si>
    <t xml:space="preserve">VALOR
MENSAL</t>
  </si>
  <si>
    <t xml:space="preserve">VALOR
ANUAL </t>
  </si>
  <si>
    <t xml:space="preserve">KG</t>
  </si>
  <si>
    <t xml:space="preserve">A</t>
  </si>
  <si>
    <t xml:space="preserve">A1</t>
  </si>
  <si>
    <t xml:space="preserve">A3</t>
  </si>
  <si>
    <t xml:space="preserve">A4</t>
  </si>
  <si>
    <t xml:space="preserve">B</t>
  </si>
  <si>
    <t xml:space="preserve">-</t>
  </si>
  <si>
    <t xml:space="preserve">E</t>
  </si>
  <si>
    <t xml:space="preserve">VALOR TOTAL :</t>
  </si>
  <si>
    <t xml:space="preserve">POSTOS DE SERVIÇO</t>
  </si>
  <si>
    <t xml:space="preserve">Item</t>
  </si>
  <si>
    <t xml:space="preserve">Dias de Funcionamento</t>
  </si>
  <si>
    <t xml:space="preserve">Horário</t>
  </si>
  <si>
    <t xml:space="preserve">Local</t>
  </si>
  <si>
    <t xml:space="preserve">Período</t>
  </si>
  <si>
    <t xml:space="preserve">Especificação</t>
  </si>
  <si>
    <t xml:space="preserve">Quantidades de Postos</t>
  </si>
  <si>
    <t xml:space="preserve">Todos os dias
</t>
  </si>
  <si>
    <t xml:space="preserve">7h às 19h</t>
  </si>
  <si>
    <t xml:space="preserve">Centro Cirúrgico UTIs, CME Clínicas, Ambulatório, Diagnóstico</t>
  </si>
  <si>
    <t xml:space="preserve">Diurno</t>
  </si>
  <si>
    <t xml:space="preserve">01 funcionário por posto em escala de 12x36</t>
  </si>
  <si>
    <t xml:space="preserve">Todos os dias</t>
  </si>
  <si>
    <t xml:space="preserve">19h às 07h
</t>
  </si>
  <si>
    <t xml:space="preserve">Clínicas UTIs
</t>
  </si>
  <si>
    <t xml:space="preserve">Noturno</t>
  </si>
  <si>
    <t xml:space="preserve">TOTAL DE POSTOS </t>
  </si>
  <si>
    <t xml:space="preserve">VALOR MENSAL DOS SERVIÇOS</t>
  </si>
  <si>
    <t xml:space="preserve">TIPO DE SERVIÇO </t>
  </si>
  <si>
    <t xml:space="preserve">VALOR POR EMPREGADO
</t>
  </si>
  <si>
    <t xml:space="preserve">QUANTIDADE DE EMPREGADO POR FUNÇÃO</t>
  </si>
  <si>
    <t xml:space="preserve">VALOR MENSAL</t>
  </si>
  <si>
    <t xml:space="preserve">VALOR ANUAL </t>
  </si>
  <si>
    <t xml:space="preserve">Agente de Coleta - Diurno </t>
  </si>
  <si>
    <t xml:space="preserve">Agente de Coleta - Noturno </t>
  </si>
  <si>
    <t xml:space="preserve">Motorista</t>
  </si>
  <si>
    <t xml:space="preserve">Responsavel Tecnico</t>
  </si>
  <si>
    <t xml:space="preserve">VALOR TOTAL</t>
  </si>
  <si>
    <t xml:space="preserve"> </t>
  </si>
  <si>
    <t xml:space="preserve">Data de apresentação da proposta (mês/ano)</t>
  </si>
  <si>
    <t xml:space="preserve">ESPECIFICAÇÃO</t>
  </si>
  <si>
    <t xml:space="preserve">Prestação de serviços de coleta interna e externa, recolhimento, transporte, tratamento e destinação final dos Resíduos de Serviços de Saúde – RSS (Grupos A, B e E).</t>
  </si>
  <si>
    <t xml:space="preserve">C</t>
  </si>
  <si>
    <t xml:space="preserve">Ano Acordo, Convenção ou Sentença Normativa em Dissídio Coletivo</t>
  </si>
  <si>
    <t xml:space="preserve">RO000003/2025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</si>
  <si>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</si>
  <si>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</si>
  <si>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</si>
  <si>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</si>
  <si>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</si>
  <si>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</si>
  <si>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</si>
  <si>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Serviços de coleta interna e externa, recolhimento, transporte, tratamento e destinação final dos Resíduos de Serviços de Saúde – RSS (Grupos A, B e E).</t>
  </si>
  <si>
    <t xml:space="preserve">Salário Normativo da Categoria Profissional</t>
  </si>
  <si>
    <t xml:space="preserve">Categoria profissional (vinculada à execução contratual)</t>
  </si>
  <si>
    <t xml:space="preserve">Agente de Coleta de Resíduo Hospitalar - Diurno 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</si>
  <si>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</si>
  <si>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</si>
  <si>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</si>
  <si>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</si>
  <si>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Periculosidade</t>
  </si>
  <si>
    <t xml:space="preserve">30% sobre o salário</t>
  </si>
  <si>
    <t xml:space="preserve">Adicional de Insalubridade</t>
  </si>
  <si>
    <t xml:space="preserve">40% * 1.621,00</t>
  </si>
  <si>
    <t xml:space="preserve">D</t>
  </si>
  <si>
    <t xml:space="preserve">Adicional Noturno</t>
  </si>
  <si>
    <t xml:space="preserve">20% sobre  a hora diurna</t>
  </si>
  <si>
    <t xml:space="preserve">Adicional de Hora Noturna Reduzida</t>
  </si>
  <si>
    <t xml:space="preserve">H. Extra (+50%) ou H. Normal + 20% de adiconal</t>
  </si>
  <si>
    <t xml:space="preserve">F</t>
  </si>
  <si>
    <t xml:space="preserve">INTERVALO INTRAJORNADA</t>
  </si>
  <si>
    <t xml:space="preserve">G</t>
  </si>
  <si>
    <t xml:space="preserve">DSR INTRAJORNADA</t>
  </si>
  <si>
    <t xml:space="preserve">TOTAL DO MÓDULO 1</t>
  </si>
  <si>
    <t xml:space="preserve"> MÓDULO 2: BENEFÍCIOS MENSAIS E DIÁRIOS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</si>
  <si>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</si>
  <si>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</si>
  <si>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</si>
  <si>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 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</si>
  <si>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</si>
  <si>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</si>
  <si>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2.1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</si>
  <si>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</si>
  <si>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</si>
  <si>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</si>
  <si>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</si>
  <si>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</si>
  <si>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</si>
  <si>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SEBRAE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</si>
  <si>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</si>
  <si>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</si>
  <si>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</si>
  <si>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</si>
  <si>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</si>
  <si>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</si>
  <si>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</si>
  <si>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</si>
  <si>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Assistência médica e familiar </t>
  </si>
  <si>
    <t xml:space="preserve">Auxílio creche </t>
  </si>
  <si>
    <t xml:space="preserve">1.974,30*50%*0,0199*2/12</t>
  </si>
  <si>
    <t xml:space="preserve">Seguro de vida 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</si>
  <si>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</si>
  <si>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</si>
  <si>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</si>
  <si>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2.2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</si>
  <si>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</si>
  <si>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</si>
  <si>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</si>
  <si>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</si>
  <si>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</si>
  <si>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</si>
  <si>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</si>
  <si>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</si>
  <si>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</si>
  <si>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</si>
  <si>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</si>
  <si>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</si>
  <si>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</si>
  <si>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</si>
  <si>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</si>
  <si>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</si>
  <si>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</si>
  <si>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</si>
  <si>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</si>
  <si>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</si>
  <si>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</si>
  <si>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</si>
  <si>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</si>
  <si>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</si>
  <si>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</si>
  <si>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</si>
  <si>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</si>
  <si>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</si>
  <si>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</si>
  <si>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</si>
  <si>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</si>
  <si>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</si>
  <si>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EPIs</t>
  </si>
  <si>
    <t xml:space="preserve">Materiais</t>
  </si>
  <si>
    <t xml:space="preserve">Equipamentos</t>
  </si>
  <si>
    <t xml:space="preserve">Outros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</si>
  <si>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</si>
  <si>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</si>
  <si>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</si>
  <si>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</si>
  <si>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</si>
  <si>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</si>
  <si>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</si>
  <si>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</si>
  <si>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</si>
  <si>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</si>
  <si>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</si>
  <si>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</si>
  <si>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</si>
  <si>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</si>
  <si>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</si>
  <si>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</si>
  <si>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</si>
  <si>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</si>
  <si>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</si>
  <si>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</si>
  <si>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</si>
  <si>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</si>
  <si>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</si>
  <si>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</si>
  <si>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(A+B+C+D+E)</t>
  </si>
  <si>
    <t xml:space="preserve">Módulo 6 – Custos indiretos, tributos e lucro</t>
  </si>
  <si>
    <t xml:space="preserve">VALOR TOTAL POR EMPREGADO</t>
  </si>
  <si>
    <t xml:space="preserve">Agente de Coleta de Resíduo Hospitalar - Noturno</t>
  </si>
  <si>
    <t xml:space="preserve">Motorista </t>
  </si>
  <si>
    <t xml:space="preserve">3.500,06*50%*0,0199*2/12</t>
  </si>
  <si>
    <t xml:space="preserve">Subtotal  (A+B+C+D+E)</t>
  </si>
  <si>
    <t xml:space="preserve">Férias e Adicional de Férias</t>
  </si>
  <si>
    <t xml:space="preserve">INFORMAÇÃO: </t>
  </si>
  <si>
    <t xml:space="preserve">Informo que os dados utilizados para calcular a estimativa do "Salário Normativo da Categoria Profissional" para o respectivo objeto foram obtidos do Processo 0036.001738/2023-81, especificamente na Proposta - Empresa AR PURO AMBIENTAL AJUSTADA (0040576714).Esse procedimento foi adotado devido à ausência de acordo, convenção ou sentença normativa em dissídio coletivo para a categoria em questão.</t>
  </si>
  <si>
    <t xml:space="preserve">UNIFORMES E EPI (POR FUNCIONÁRIO)</t>
  </si>
  <si>
    <t xml:space="preserve">Ordem</t>
  </si>
  <si>
    <t xml:space="preserve">Uniformes</t>
  </si>
  <si>
    <t xml:space="preserve">Periodicidade </t>
  </si>
  <si>
    <t xml:space="preserve">Quantidade</t>
  </si>
  <si>
    <t xml:space="preserve">Valor Unitário</t>
  </si>
  <si>
    <t xml:space="preserve">Valor Total Anual</t>
  </si>
  <si>
    <t xml:space="preserve">Valor Mensal</t>
  </si>
  <si>
    <t xml:space="preserve"> Calça</t>
  </si>
  <si>
    <t xml:space="preserve">6 meses</t>
  </si>
  <si>
    <t xml:space="preserve">Camisa</t>
  </si>
  <si>
    <t xml:space="preserve">Crachá</t>
  </si>
  <si>
    <t xml:space="preserve">Par de calçados</t>
  </si>
  <si>
    <t xml:space="preserve">TOTAL MENSAL POR FUNCIONÁRIO</t>
  </si>
  <si>
    <t xml:space="preserve">Devido à fase de elaboração do Termo de Referência, ainda não foi possível definir as especificações ou quantidades dos uniformes necessários. Para contornar essa lacuna e agilizar o processo, o departamento encarregado de criar planilhas decidiu recorrer à Cláusula Trigésima da Convenção Coletiva de Trabalho RO000094/2024, estipulada pelo Sindicato das Empresas de Asseio, Conservação, Limpeza Pública e Locação de Mão-de-Obra do Estado de Rondônia.
De acordo com essa cláusula, as empresas são obrigadas a fornecer uniformes completos aos seus funcionários. Um uniforme completo consiste, no mínimo, no mínimo 02 calças, 02 Camisas, 01 crachá e 01 Par de calçados, devendo ser substituído a cada seis meses. Além disso, as empresas devem fornecer os equipamentos de proteção individual e coletiva necessários conforme as normas regulamentadoras.
</t>
  </si>
  <si>
    <t xml:space="preserve">Material de Consumo </t>
  </si>
  <si>
    <t xml:space="preserve">Descrição</t>
  </si>
  <si>
    <t xml:space="preserve">Unidade</t>
  </si>
  <si>
    <t xml:space="preserve">Quantidade Mensal</t>
  </si>
  <si>
    <t xml:space="preserve">Quantidade Anual</t>
  </si>
  <si>
    <t xml:space="preserve">Valor Total Mensal</t>
  </si>
  <si>
    <t xml:space="preserve">Saco branco 60 litros para coleta de resíduo do grupo A.</t>
  </si>
  <si>
    <t xml:space="preserve">UND</t>
  </si>
  <si>
    <t xml:space="preserve">Saco branco 30 litros para coleta de resíduo do grupo A.</t>
  </si>
  <si>
    <t xml:space="preserve">Saco branco 120 litros para coleta de resíduo do grupo A.</t>
  </si>
  <si>
    <t xml:space="preserve">Saco vermelho, para coleta do resíduo do grupo A.</t>
  </si>
  <si>
    <t xml:space="preserve">Caixas para coleta de resíduos perfuro cortantes, grupo E</t>
  </si>
  <si>
    <t xml:space="preserve">Caixas para coleta de resíduos químicos perfuro cortantes, cor laranja, grupo B</t>
  </si>
  <si>
    <t xml:space="preserve">Álcool em gel 70%.</t>
  </si>
  <si>
    <t xml:space="preserve">Litros</t>
  </si>
  <si>
    <t xml:space="preserve">Detergente líquido superconcentrado, galão de 5 litros.</t>
  </si>
  <si>
    <t xml:space="preserve">Galão</t>
  </si>
  <si>
    <t xml:space="preserve">Sabonete líquido, galão de 5 litros.</t>
  </si>
  <si>
    <t xml:space="preserve">Hipoclorito de Sódio, galão de 5 litros.</t>
  </si>
  <si>
    <t xml:space="preserve">TOTAL MENSAL POR SERVENTE</t>
  </si>
  <si>
    <t xml:space="preserve">INFORMAÇÃO :</t>
  </si>
  <si>
    <t xml:space="preserve">Saco branco 60 litro  - O valor cotado para o referido item foi R$32,70, todavia, o valor corresponde a pacote com 100 unidades, sendo assim, devido o fato de o TR solicitar em unidade, o valor unitário corresponde a R$32,70/100 = 0,33.</t>
  </si>
  <si>
    <t xml:space="preserve">Saco branco 30 litros  - O valor cotado para o referido item foi R$23,75, todavia, o valor corresponde a pacote com 100 unidades, sendo assim, devido o fato de o TR solicitar em unidade, o valor unitário corresponde a R$23,75/100 = 0,24.</t>
  </si>
  <si>
    <t xml:space="preserve">Saco branco 120 litros – O valor cotado foi de R$ 45,09, referente a pacote com 100 unidades; assim, o valor unitário corresponde a R$ 0,45. O item foi equiparado ao saco de 100 litros, pois não foi encontrada cotação específica para o de 120 litros. </t>
  </si>
  <si>
    <t xml:space="preserve">Álcool em gel 70%.  - O valor cotado para o referido item foi R$6,20, todavia, o valor corresponde a 500 ml, sendo assim, devido o fato de o TR solicitar em litro, o valor unitário corresponde a R$6,20*2 =12,40.</t>
  </si>
  <si>
    <t xml:space="preserve">Material Permanentes</t>
  </si>
  <si>
    <t xml:space="preserve">Vida Útil (Meses)</t>
  </si>
  <si>
    <t xml:space="preserve">Bombonas de 200 litros, em PEAD, com boca larga, cor branca, tampa rosqueada e vedante, devidamente identificada, para abrigo externo para os resíduos do Grupo A.</t>
  </si>
  <si>
    <t xml:space="preserve">Bombonas de 200 litros, em PEAD, com boca larga, cor laranja, tampa rosqueada e vedante, devidamente identificada, para abrigo externo para os resíduos do Grupo B.</t>
  </si>
  <si>
    <t xml:space="preserve">Bombonas de 200 litros, em PEAD, com boca larga, cor amarela, tampa rosqueada e vedante, devidamente identificada, para abrigo externo para os resíduos do Grupo E.</t>
  </si>
  <si>
    <t xml:space="preserve">Bombonas de 50 litros, em PEAD, cor laranja, tampa rosqueada e vedante, devidamente identificada, para descarte dos líquidos revelador e fixador (raio-X).</t>
  </si>
  <si>
    <t xml:space="preserve">Recipiente coletor de pilhas e baterias (papa pilhas), cor laranja, devidamente identificado, orifícios pequenos, que permitam somente a entrada destes resíduos, com suporte para fixação na parede.</t>
  </si>
  <si>
    <t xml:space="preserve">Coletor para lâmpadas fluorescentes tubulares e compactas, em material resistente, cor laranja, devidamente identificada.</t>
  </si>
  <si>
    <t xml:space="preserve">Freezer 02 portas</t>
  </si>
  <si>
    <t xml:space="preserve">Balança de pesagem com capacidade 200kg</t>
  </si>
  <si>
    <t xml:space="preserve">Lixeiras com tampa e acionamento por pedal de 100 lt</t>
  </si>
  <si>
    <t xml:space="preserve">Lixeiras com tampa e acionamento por pedal de 50 lt</t>
  </si>
  <si>
    <t xml:space="preserve">Lixeiras com tampa e acionamento por pedal de 30 lt</t>
  </si>
  <si>
    <t xml:space="preserve">Lixeiras com tampa e acionamento por pedal de 15 lt</t>
  </si>
  <si>
    <t xml:space="preserve">Suporte para coletor perfuro cortante</t>
  </si>
  <si>
    <t xml:space="preserve">Carrinhos de transporte de resíduos com capacidade de 600 lt</t>
  </si>
  <si>
    <t xml:space="preserve">Carrinhos de transporte de resíduos com capacidade de 240 lt</t>
  </si>
  <si>
    <t xml:space="preserve">Carrinhos de transporte de resíduos com capacidade de 150 lt</t>
  </si>
  <si>
    <t xml:space="preserve">Como não há uma definição específica da vida útil em meses, foi adotada a vida útil dos materiais permanentes e equipamentos conforme estabelecido no Despacho 0035154856.</t>
  </si>
  <si>
    <t xml:space="preserve">Veículo Furgão</t>
  </si>
  <si>
    <t xml:space="preserve">Und</t>
  </si>
  <si>
    <r>
      <rPr>
        <sz val="11"/>
        <color theme="1"/>
        <rFont val="Calibri"/>
        <family val="2"/>
        <charset val="1"/>
      </rPr>
      <t xml:space="preserve">O Termo de Referência, no item 19.4 – Infraestrutura e Equipamentos, estabelece que a empresa contratada deve possuir infraestrutura adequada, incluindo veículos, equipamentos de coleta e tratamento, além de instalações para processamento temporário e destinação final dos resíduos.
Diante disso, ficou definido que o veículo furgão será cotado por lote. A unidade em questão faz parte do Lote II, composto por duas unidades: Hospital Regional de Cacoal - HRC e Hospital de Urgência e Emergência Regional de Cacoal - HEURO
</t>
    </r>
    <r>
      <rPr>
        <sz val="11"/>
        <color rgb="FF000000"/>
        <rFont val="Calibri"/>
        <family val="2"/>
        <charset val="1"/>
      </rPr>
      <t xml:space="preserve">O valor total do veículo, de R$ 289.990,00, será dividido igualmente entre essas unidades, resultando em um custo de R$ 144.995,00 para cada uma.</t>
    </r>
  </si>
  <si>
    <t xml:space="preserve">Carro de transporte 600 litros – o item foi equiparado à lixeira de 660 litros, tendo em vista que não foi possível localizar o modelo de 600 litros no momento da cotação. </t>
  </si>
  <si>
    <t xml:space="preserve">Carro de transporte 150 litros - o item foi equiparado à lixeira de 120 litros, tendo em vista que não foi possível localizar o modelo de 150 litros no momento da cotação.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</si>
</sst>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&quot;R$ &quot;* #,##0.00_-;&quot;-R$ &quot;* #,##0.00_-;_-&quot;R$ &quot;* \-??_-;_-@_-"/>
    <numFmt numFmtId="166" formatCode="#,##0.00"/>
    <numFmt numFmtId="167" formatCode="0.00"/>
    <numFmt numFmtId="168" formatCode="&quot;R$ &quot;#,##0.00"/>
    <numFmt numFmtId="169" formatCode="00"/>
    <numFmt numFmtId="170" formatCode="0%"/>
    <numFmt numFmtId="171" formatCode="0.000%"/>
    <numFmt numFmtId="172" formatCode="d/m/yyyy"/>
    <numFmt numFmtId="173" formatCode="0.00%"/>
    <numFmt numFmtId="174" formatCode="_-* #,##0.00_-;\-* #,##0.00_-;_-* \-??_-;_-@_-"/>
    <numFmt numFmtId="175" formatCode="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b val="true"/>
      <sz val="11"/>
      <name val="Times New Roman"/>
      <family val="1"/>
      <charset val="1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8"/>
        <bgColor rgb="FFC5E0B4"/>
      </patternFill>
    </fill>
    <fill>
      <patternFill patternType="solid">
        <fgColor theme="9" tint="0.5998"/>
        <bgColor rgb="FFA9D18E"/>
      </patternFill>
    </fill>
    <fill>
      <patternFill patternType="solid">
        <fgColor theme="5" tint="0.3998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tru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3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20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2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9" fontId="25" fillId="0" borderId="2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2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3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1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7" borderId="28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3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3" fillId="2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2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2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23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23" fillId="2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0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6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7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3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3" fillId="6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4" fillId="2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16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1" fontId="23" fillId="0" borderId="1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3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4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0" borderId="2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3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0" fillId="0" borderId="16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0" xfId="17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3" fillId="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2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2" borderId="2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4" fillId="2" borderId="11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2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4" fillId="2" borderId="20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2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0" borderId="20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6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5" fontId="25" fillId="0" borderId="14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0" borderId="15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5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2" borderId="1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7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8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8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25" fillId="0" borderId="11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2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5" fillId="2" borderId="1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2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2" borderId="1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6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6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75" fontId="25" fillId="2" borderId="20" xfId="22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5" fillId="0" borderId="16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3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2" borderId="14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24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25" fillId="2" borderId="15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24" fillId="0" borderId="15" xfId="17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8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27" xfId="2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6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Normal 4" xfId="23"/>
    <cellStyle name="Normal 5" xfId="24"/>
    <cellStyle name="Normal 6" xfId="25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../../AppData/Local/Temp/17%20Instrucao%20Normativa%2002_2008%20Servicos%20Continuados/0%20LEGISLACAO%20GERAL/IN%2003_2005%20MSP_SRP/AnexoII_IN03.rt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45" zoomScalePageLayoutView="100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39" activeCellId="0" sqref="E39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100.71"/>
    <col collapsed="false" customWidth="true" hidden="false" outlineLevel="0" max="5" min="3" style="1" width="12.71"/>
    <col collapsed="false" customWidth="true" hidden="false" outlineLevel="0" max="6" min="6" style="1" width="13.71"/>
    <col collapsed="false" customWidth="true" hidden="false" outlineLevel="0" max="8" min="7" style="1" width="12.71"/>
  </cols>
  <sheetData>
    <row r="1" customFormat="false" ht="15" hidden="false" customHeight="true" outlineLevel="0" collapsed="false">
      <c r="A1" s="259" t="s">
        <v>304</v>
      </c>
      <c r="B1" s="259"/>
      <c r="C1" s="259"/>
      <c r="D1" s="259"/>
      <c r="E1" s="259"/>
      <c r="F1" s="259"/>
      <c r="G1" s="259"/>
      <c r="H1" s="259"/>
    </row>
    <row r="2" customFormat="false" ht="30" hidden="false" customHeight="true" outlineLevel="0" collapsed="false">
      <c r="A2" s="223" t="s">
        <v>265</v>
      </c>
      <c r="B2" s="224" t="s">
        <v>280</v>
      </c>
      <c r="C2" s="224" t="s">
        <v>281</v>
      </c>
      <c r="D2" s="224" t="s">
        <v>268</v>
      </c>
      <c r="E2" s="224" t="s">
        <v>305</v>
      </c>
      <c r="F2" s="224" t="s">
        <v>269</v>
      </c>
      <c r="G2" s="224" t="s">
        <v>270</v>
      </c>
      <c r="H2" s="225" t="s">
        <v>284</v>
      </c>
    </row>
    <row r="3" customFormat="false" ht="30" hidden="false" customHeight="true" outlineLevel="0" collapsed="false">
      <c r="A3" s="260" t="n">
        <v>1</v>
      </c>
      <c r="B3" s="261" t="s">
        <v>306</v>
      </c>
      <c r="C3" s="262" t="s">
        <v>286</v>
      </c>
      <c r="D3" s="263" t="n">
        <v>40</v>
      </c>
      <c r="E3" s="264" t="n">
        <v>24</v>
      </c>
      <c r="F3" s="265" t="n">
        <v>309.86</v>
      </c>
      <c r="G3" s="231" t="n">
        <f aca="false">F3*D3</f>
        <v>12394.4</v>
      </c>
      <c r="H3" s="266" t="n">
        <f aca="false">G3/E3</f>
        <v>516.433333333333</v>
      </c>
    </row>
    <row r="4" customFormat="false" ht="30" hidden="false" customHeight="true" outlineLevel="0" collapsed="false">
      <c r="A4" s="240" t="n">
        <v>2</v>
      </c>
      <c r="B4" s="267" t="s">
        <v>307</v>
      </c>
      <c r="C4" s="241" t="s">
        <v>286</v>
      </c>
      <c r="D4" s="242" t="n">
        <v>15</v>
      </c>
      <c r="E4" s="268" t="n">
        <v>24</v>
      </c>
      <c r="F4" s="269" t="n">
        <v>309.86</v>
      </c>
      <c r="G4" s="238" t="n">
        <f aca="false">F4*D4</f>
        <v>4647.9</v>
      </c>
      <c r="H4" s="270" t="n">
        <f aca="false">G4/E4</f>
        <v>193.6625</v>
      </c>
    </row>
    <row r="5" customFormat="false" ht="30" hidden="false" customHeight="true" outlineLevel="0" collapsed="false">
      <c r="A5" s="240" t="n">
        <v>3</v>
      </c>
      <c r="B5" s="267" t="s">
        <v>308</v>
      </c>
      <c r="C5" s="241" t="s">
        <v>286</v>
      </c>
      <c r="D5" s="242" t="n">
        <v>5</v>
      </c>
      <c r="E5" s="47" t="n">
        <v>24</v>
      </c>
      <c r="F5" s="269" t="n">
        <v>309.86</v>
      </c>
      <c r="G5" s="238" t="n">
        <f aca="false">F5*D5</f>
        <v>1549.3</v>
      </c>
      <c r="H5" s="270" t="n">
        <f aca="false">G5/E5</f>
        <v>64.5541666666667</v>
      </c>
    </row>
    <row r="6" customFormat="false" ht="30" hidden="false" customHeight="true" outlineLevel="0" collapsed="false">
      <c r="A6" s="240" t="n">
        <v>4</v>
      </c>
      <c r="B6" s="267" t="s">
        <v>309</v>
      </c>
      <c r="C6" s="235" t="s">
        <v>286</v>
      </c>
      <c r="D6" s="271" t="n">
        <v>1</v>
      </c>
      <c r="E6" s="47" t="n">
        <v>24</v>
      </c>
      <c r="F6" s="237" t="n">
        <v>201.2</v>
      </c>
      <c r="G6" s="238" t="n">
        <f aca="false">F6*D6</f>
        <v>201.2</v>
      </c>
      <c r="H6" s="270" t="n">
        <f aca="false">G6/E6</f>
        <v>8.38333333333333</v>
      </c>
    </row>
    <row r="7" customFormat="false" ht="30" hidden="false" customHeight="true" outlineLevel="0" collapsed="false">
      <c r="A7" s="240" t="n">
        <v>5</v>
      </c>
      <c r="B7" s="267" t="s">
        <v>310</v>
      </c>
      <c r="C7" s="241" t="s">
        <v>286</v>
      </c>
      <c r="D7" s="242" t="n">
        <v>1</v>
      </c>
      <c r="E7" s="272" t="n">
        <v>24</v>
      </c>
      <c r="F7" s="269" t="n">
        <v>205.35</v>
      </c>
      <c r="G7" s="238" t="n">
        <f aca="false">F7*D7</f>
        <v>205.35</v>
      </c>
      <c r="H7" s="270" t="n">
        <f aca="false">G7/E7</f>
        <v>8.55625</v>
      </c>
    </row>
    <row r="8" customFormat="false" ht="30" hidden="false" customHeight="true" outlineLevel="0" collapsed="false">
      <c r="A8" s="240" t="n">
        <v>6</v>
      </c>
      <c r="B8" s="267" t="s">
        <v>311</v>
      </c>
      <c r="C8" s="241" t="s">
        <v>286</v>
      </c>
      <c r="D8" s="273" t="n">
        <v>1</v>
      </c>
      <c r="E8" s="47" t="n">
        <v>24</v>
      </c>
      <c r="F8" s="269" t="n">
        <v>494.45</v>
      </c>
      <c r="G8" s="238" t="n">
        <f aca="false">F8*D8</f>
        <v>494.45</v>
      </c>
      <c r="H8" s="270" t="n">
        <f aca="false">G8/E8</f>
        <v>20.6020833333333</v>
      </c>
    </row>
    <row r="9" customFormat="false" ht="15.75" hidden="false" customHeight="true" outlineLevel="0" collapsed="false">
      <c r="A9" s="274" t="n">
        <v>7</v>
      </c>
      <c r="B9" s="234" t="s">
        <v>312</v>
      </c>
      <c r="C9" s="235" t="s">
        <v>286</v>
      </c>
      <c r="D9" s="236" t="n">
        <v>1</v>
      </c>
      <c r="E9" s="47" t="n">
        <v>36</v>
      </c>
      <c r="F9" s="269" t="n">
        <v>3514.45</v>
      </c>
      <c r="G9" s="238" t="n">
        <f aca="false">F9*D9</f>
        <v>3514.45</v>
      </c>
      <c r="H9" s="270" t="n">
        <f aca="false">G9/E9</f>
        <v>97.6236111111111</v>
      </c>
    </row>
    <row r="10" customFormat="false" ht="15.75" hidden="false" customHeight="true" outlineLevel="0" collapsed="false">
      <c r="A10" s="274" t="n">
        <v>8</v>
      </c>
      <c r="B10" s="234" t="s">
        <v>313</v>
      </c>
      <c r="C10" s="235" t="s">
        <v>286</v>
      </c>
      <c r="D10" s="236" t="n">
        <v>1</v>
      </c>
      <c r="E10" s="47" t="n">
        <v>36</v>
      </c>
      <c r="F10" s="269" t="n">
        <v>963.88</v>
      </c>
      <c r="G10" s="238" t="n">
        <f aca="false">F10*D10</f>
        <v>963.88</v>
      </c>
      <c r="H10" s="270" t="n">
        <f aca="false">G10/E10</f>
        <v>26.7744444444444</v>
      </c>
    </row>
    <row r="11" customFormat="false" ht="15.75" hidden="false" customHeight="true" outlineLevel="0" collapsed="false">
      <c r="A11" s="240" t="n">
        <v>9</v>
      </c>
      <c r="B11" s="234" t="s">
        <v>314</v>
      </c>
      <c r="C11" s="235" t="s">
        <v>286</v>
      </c>
      <c r="D11" s="236" t="n">
        <v>50</v>
      </c>
      <c r="E11" s="47" t="n">
        <v>24</v>
      </c>
      <c r="F11" s="275" t="n">
        <v>160</v>
      </c>
      <c r="G11" s="238" t="n">
        <f aca="false">F11*D11</f>
        <v>8000</v>
      </c>
      <c r="H11" s="270" t="n">
        <f aca="false">G11/E11</f>
        <v>333.333333333333</v>
      </c>
    </row>
    <row r="12" customFormat="false" ht="15.75" hidden="false" customHeight="true" outlineLevel="0" collapsed="false">
      <c r="A12" s="274" t="n">
        <v>10</v>
      </c>
      <c r="B12" s="234" t="s">
        <v>315</v>
      </c>
      <c r="C12" s="235" t="s">
        <v>286</v>
      </c>
      <c r="D12" s="236" t="n">
        <v>31</v>
      </c>
      <c r="E12" s="47" t="n">
        <v>24</v>
      </c>
      <c r="F12" s="269" t="n">
        <v>77</v>
      </c>
      <c r="G12" s="238" t="n">
        <f aca="false">F12*D12</f>
        <v>2387</v>
      </c>
      <c r="H12" s="270" t="n">
        <f aca="false">G12/E12</f>
        <v>99.4583333333333</v>
      </c>
    </row>
    <row r="13" customFormat="false" ht="15.75" hidden="false" customHeight="true" outlineLevel="0" collapsed="false">
      <c r="A13" s="233" t="n">
        <v>11</v>
      </c>
      <c r="B13" s="234" t="s">
        <v>316</v>
      </c>
      <c r="C13" s="235" t="s">
        <v>286</v>
      </c>
      <c r="D13" s="236" t="n">
        <v>17</v>
      </c>
      <c r="E13" s="47" t="n">
        <v>24</v>
      </c>
      <c r="F13" s="269" t="n">
        <v>50</v>
      </c>
      <c r="G13" s="238" t="n">
        <f aca="false">F13*D13</f>
        <v>850</v>
      </c>
      <c r="H13" s="270" t="n">
        <f aca="false">G13/E13</f>
        <v>35.4166666666667</v>
      </c>
    </row>
    <row r="14" customFormat="false" ht="15.75" hidden="false" customHeight="true" outlineLevel="0" collapsed="false">
      <c r="A14" s="233" t="n">
        <v>12</v>
      </c>
      <c r="B14" s="267" t="s">
        <v>317</v>
      </c>
      <c r="C14" s="235" t="s">
        <v>286</v>
      </c>
      <c r="D14" s="236" t="n">
        <v>25</v>
      </c>
      <c r="E14" s="47" t="n">
        <v>24</v>
      </c>
      <c r="F14" s="269" t="n">
        <v>28.9</v>
      </c>
      <c r="G14" s="238" t="n">
        <f aca="false">F14*D14</f>
        <v>722.5</v>
      </c>
      <c r="H14" s="270" t="n">
        <f aca="false">G14/E14</f>
        <v>30.1041666666667</v>
      </c>
    </row>
    <row r="15" customFormat="false" ht="15.75" hidden="false" customHeight="true" outlineLevel="0" collapsed="false">
      <c r="A15" s="233" t="n">
        <v>13</v>
      </c>
      <c r="B15" s="234" t="s">
        <v>318</v>
      </c>
      <c r="C15" s="235" t="s">
        <v>286</v>
      </c>
      <c r="D15" s="236" t="n">
        <v>48</v>
      </c>
      <c r="E15" s="47" t="n">
        <v>24</v>
      </c>
      <c r="F15" s="269" t="n">
        <v>25.85</v>
      </c>
      <c r="G15" s="238" t="n">
        <f aca="false">F15*D15</f>
        <v>1240.8</v>
      </c>
      <c r="H15" s="270" t="n">
        <f aca="false">G15/E15</f>
        <v>51.7</v>
      </c>
    </row>
    <row r="16" customFormat="false" ht="15.75" hidden="false" customHeight="true" outlineLevel="0" collapsed="false">
      <c r="A16" s="233" t="n">
        <v>14</v>
      </c>
      <c r="B16" s="234" t="s">
        <v>319</v>
      </c>
      <c r="C16" s="235" t="s">
        <v>286</v>
      </c>
      <c r="D16" s="236" t="n">
        <v>2</v>
      </c>
      <c r="E16" s="47" t="n">
        <v>24</v>
      </c>
      <c r="F16" s="269" t="n">
        <v>1599</v>
      </c>
      <c r="G16" s="238" t="n">
        <f aca="false">F16*D16</f>
        <v>3198</v>
      </c>
      <c r="H16" s="270" t="n">
        <f aca="false">G16/E16</f>
        <v>133.25</v>
      </c>
    </row>
    <row r="17" customFormat="false" ht="15.75" hidden="false" customHeight="true" outlineLevel="0" collapsed="false">
      <c r="A17" s="276" t="n">
        <v>15</v>
      </c>
      <c r="B17" s="234" t="s">
        <v>320</v>
      </c>
      <c r="C17" s="235" t="s">
        <v>286</v>
      </c>
      <c r="D17" s="236" t="n">
        <v>2</v>
      </c>
      <c r="E17" s="47" t="n">
        <v>24</v>
      </c>
      <c r="F17" s="269" t="n">
        <v>410</v>
      </c>
      <c r="G17" s="238" t="n">
        <f aca="false">F17*D17</f>
        <v>820</v>
      </c>
      <c r="H17" s="270" t="n">
        <f aca="false">G17/E17</f>
        <v>34.1666666666667</v>
      </c>
    </row>
    <row r="18" customFormat="false" ht="15.75" hidden="false" customHeight="true" outlineLevel="0" collapsed="false">
      <c r="A18" s="276" t="n">
        <v>16</v>
      </c>
      <c r="B18" s="234" t="s">
        <v>321</v>
      </c>
      <c r="C18" s="235" t="s">
        <v>286</v>
      </c>
      <c r="D18" s="236" t="n">
        <v>2</v>
      </c>
      <c r="E18" s="47" t="n">
        <v>24</v>
      </c>
      <c r="F18" s="269" t="n">
        <v>311.64</v>
      </c>
      <c r="G18" s="238" t="n">
        <f aca="false">F18*D18</f>
        <v>623.28</v>
      </c>
      <c r="H18" s="270" t="n">
        <f aca="false">G18/E18</f>
        <v>25.97</v>
      </c>
    </row>
    <row r="19" customFormat="false" ht="15" hidden="false" customHeight="true" outlineLevel="0" collapsed="false">
      <c r="A19" s="277" t="s">
        <v>322</v>
      </c>
      <c r="B19" s="277"/>
      <c r="C19" s="277"/>
      <c r="D19" s="277"/>
      <c r="E19" s="277"/>
      <c r="F19" s="277"/>
      <c r="G19" s="277"/>
      <c r="H19" s="277"/>
    </row>
    <row r="20" customFormat="false" ht="23.85" hidden="false" customHeight="false" outlineLevel="0" collapsed="false">
      <c r="A20" s="278" t="s">
        <v>265</v>
      </c>
      <c r="B20" s="279" t="s">
        <v>280</v>
      </c>
      <c r="C20" s="279" t="s">
        <v>281</v>
      </c>
      <c r="D20" s="279" t="s">
        <v>268</v>
      </c>
      <c r="E20" s="279" t="s">
        <v>305</v>
      </c>
      <c r="F20" s="279" t="s">
        <v>269</v>
      </c>
      <c r="G20" s="279" t="s">
        <v>270</v>
      </c>
      <c r="H20" s="280" t="s">
        <v>284</v>
      </c>
    </row>
    <row r="21" customFormat="false" ht="15" hidden="false" customHeight="false" outlineLevel="0" collapsed="false">
      <c r="A21" s="281" t="n">
        <v>1</v>
      </c>
      <c r="B21" s="282" t="s">
        <v>323</v>
      </c>
      <c r="C21" s="46" t="s">
        <v>324</v>
      </c>
      <c r="D21" s="283" t="n">
        <f aca="false">1</f>
        <v>1</v>
      </c>
      <c r="E21" s="46" t="n">
        <v>60</v>
      </c>
      <c r="F21" s="284" t="n">
        <f aca="false">289990/2</f>
        <v>144995</v>
      </c>
      <c r="G21" s="285" t="n">
        <f aca="false">F21*D21</f>
        <v>144995</v>
      </c>
      <c r="H21" s="286" t="n">
        <f aca="false">G21/E21</f>
        <v>2416.58333333333</v>
      </c>
    </row>
    <row r="22" customFormat="false" ht="15" hidden="false" customHeight="false" outlineLevel="0" collapsed="false">
      <c r="A22" s="287"/>
      <c r="B22" s="287"/>
      <c r="C22" s="287"/>
      <c r="D22" s="287"/>
      <c r="E22" s="287"/>
      <c r="F22" s="287"/>
      <c r="G22" s="253" t="n">
        <f aca="false">SUM(G3:G21)</f>
        <v>186807.51</v>
      </c>
      <c r="H22" s="288" t="n">
        <f aca="false">SUM(H3:H21)</f>
        <v>4096.57222222222</v>
      </c>
    </row>
    <row r="23" customFormat="false" ht="15" hidden="false" customHeight="true" outlineLevel="0" collapsed="false">
      <c r="A23" s="289" t="s">
        <v>298</v>
      </c>
      <c r="B23" s="289"/>
      <c r="C23" s="289"/>
      <c r="D23" s="289"/>
      <c r="E23" s="289"/>
      <c r="F23" s="289"/>
      <c r="G23" s="289"/>
      <c r="H23" s="290" t="n">
        <f aca="false">H22/('PLANILHA '!F20+'PLANILHA '!F21)</f>
        <v>409.657222222222</v>
      </c>
    </row>
    <row r="24" customFormat="false" ht="15" hidden="false" customHeight="true" outlineLevel="0" collapsed="false">
      <c r="A24" s="291" t="s">
        <v>299</v>
      </c>
      <c r="B24" s="291"/>
      <c r="C24" s="291"/>
      <c r="D24" s="291"/>
      <c r="E24" s="291"/>
      <c r="F24" s="291"/>
      <c r="G24" s="291"/>
      <c r="H24" s="291"/>
    </row>
    <row r="25" customFormat="false" ht="15" hidden="false" customHeight="true" outlineLevel="0" collapsed="false">
      <c r="A25" s="292" t="s">
        <v>325</v>
      </c>
      <c r="B25" s="292"/>
      <c r="C25" s="292"/>
      <c r="D25" s="292"/>
      <c r="E25" s="292"/>
      <c r="F25" s="292"/>
      <c r="G25" s="292"/>
      <c r="H25" s="292"/>
    </row>
    <row r="26" customFormat="false" ht="15" hidden="false" customHeight="false" outlineLevel="0" collapsed="false">
      <c r="A26" s="292"/>
      <c r="B26" s="292"/>
      <c r="C26" s="292"/>
      <c r="D26" s="292"/>
      <c r="E26" s="292"/>
      <c r="F26" s="292"/>
      <c r="G26" s="292"/>
      <c r="H26" s="292"/>
    </row>
    <row r="27" customFormat="false" ht="15" hidden="false" customHeight="false" outlineLevel="0" collapsed="false">
      <c r="A27" s="292"/>
      <c r="B27" s="292"/>
      <c r="C27" s="292"/>
      <c r="D27" s="292"/>
      <c r="E27" s="292"/>
      <c r="F27" s="292"/>
      <c r="G27" s="292"/>
      <c r="H27" s="292"/>
    </row>
    <row r="28" customFormat="false" ht="15" hidden="false" customHeight="false" outlineLevel="0" collapsed="false">
      <c r="A28" s="292"/>
      <c r="B28" s="292"/>
      <c r="C28" s="292"/>
      <c r="D28" s="292"/>
      <c r="E28" s="292"/>
      <c r="F28" s="292"/>
      <c r="G28" s="292"/>
      <c r="H28" s="292"/>
    </row>
    <row r="29" customFormat="false" ht="15" hidden="false" customHeight="false" outlineLevel="0" collapsed="false">
      <c r="A29" s="292"/>
      <c r="B29" s="292"/>
      <c r="C29" s="292"/>
      <c r="D29" s="292"/>
      <c r="E29" s="292"/>
      <c r="F29" s="292"/>
      <c r="G29" s="292"/>
      <c r="H29" s="292"/>
    </row>
    <row r="30" customFormat="false" ht="15" hidden="false" customHeight="true" outlineLevel="0" collapsed="false">
      <c r="A30" s="161" t="s">
        <v>326</v>
      </c>
      <c r="B30" s="161"/>
      <c r="C30" s="161"/>
      <c r="D30" s="161"/>
      <c r="E30" s="161"/>
      <c r="F30" s="161"/>
      <c r="G30" s="161"/>
      <c r="H30" s="161"/>
    </row>
    <row r="31" customFormat="false" ht="15" hidden="false" customHeight="false" outlineLevel="0" collapsed="false">
      <c r="A31" s="161"/>
      <c r="B31" s="161"/>
      <c r="C31" s="161"/>
      <c r="D31" s="161"/>
      <c r="E31" s="161"/>
      <c r="F31" s="161"/>
      <c r="G31" s="161"/>
      <c r="H31" s="161"/>
    </row>
    <row r="32" customFormat="false" ht="15" hidden="false" customHeight="false" outlineLevel="0" collapsed="false">
      <c r="A32" s="293" t="s">
        <v>327</v>
      </c>
      <c r="B32" s="293"/>
      <c r="C32" s="293"/>
      <c r="D32" s="293"/>
      <c r="E32" s="293"/>
      <c r="F32" s="293"/>
      <c r="G32" s="293"/>
      <c r="H32" s="293"/>
    </row>
    <row r="33" customFormat="false" ht="15" hidden="false" customHeight="false" outlineLevel="0" collapsed="false">
      <c r="A33" s="293"/>
      <c r="B33" s="293"/>
      <c r="C33" s="293"/>
      <c r="D33" s="293"/>
      <c r="E33" s="293"/>
      <c r="F33" s="293"/>
      <c r="G33" s="293"/>
      <c r="H33" s="293"/>
    </row>
    <row r="1048576" customFormat="false" ht="12.75" hidden="false" customHeight="true" outlineLevel="0" collapsed="false"/>
  </sheetData>
  <mergeCells count="8">
    <mergeCell ref="A1:H1"/>
    <mergeCell ref="A19:H19"/>
    <mergeCell ref="A22:F22"/>
    <mergeCell ref="A23:G23"/>
    <mergeCell ref="A24:H24"/>
    <mergeCell ref="A25:H29"/>
    <mergeCell ref="A30:H31"/>
    <mergeCell ref="A32:H33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8.7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22" activeCellId="0" sqref="B22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5" width="30.71"/>
    <col collapsed="false" customWidth="true" hidden="false" outlineLevel="0" max="4" min="3" style="35" width="15.71"/>
    <col collapsed="false" customWidth="true" hidden="false" outlineLevel="0" max="8" min="5" style="34" width="15.71"/>
    <col collapsed="false" customWidth="true" hidden="false" outlineLevel="0" max="11" min="9" style="36" width="15.71"/>
    <col collapsed="false" customWidth="true" hidden="false" outlineLevel="0" max="12" min="12" style="34" width="13.71"/>
    <col collapsed="false" customWidth="false" hidden="false" outlineLevel="0" max="16384" min="13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customFormat="false" ht="45" hidden="false" customHeight="true" outlineLevel="0" collapsed="false">
      <c r="A4" s="40" t="s">
        <v>79</v>
      </c>
      <c r="B4" s="41" t="s">
        <v>80</v>
      </c>
      <c r="C4" s="41" t="s">
        <v>80</v>
      </c>
      <c r="D4" s="42" t="s">
        <v>81</v>
      </c>
      <c r="E4" s="41" t="s">
        <v>82</v>
      </c>
      <c r="F4" s="41" t="s">
        <v>83</v>
      </c>
      <c r="G4" s="41" t="s">
        <v>84</v>
      </c>
      <c r="H4" s="41" t="s">
        <v>85</v>
      </c>
      <c r="I4" s="43" t="s">
        <v>86</v>
      </c>
      <c r="J4" s="43" t="s">
        <v>87</v>
      </c>
      <c r="K4" s="44" t="s">
        <v>88</v>
      </c>
    </row>
    <row r="5" customFormat="false" ht="15" hidden="false" customHeight="true" outlineLevel="0" collapsed="false">
      <c r="A5" s="45" t="n">
        <v>4</v>
      </c>
      <c r="B5" s="46" t="s">
        <v>78</v>
      </c>
      <c r="C5" s="46" t="s">
        <v>89</v>
      </c>
      <c r="D5" s="46" t="s">
        <v>90</v>
      </c>
      <c r="E5" s="47" t="s">
        <v>91</v>
      </c>
      <c r="F5" s="48" t="n">
        <v>4631.9</v>
      </c>
      <c r="G5" s="49" t="n">
        <f aca="false">SUM(F5:F9)</f>
        <v>7260.7</v>
      </c>
      <c r="H5" s="49" t="n">
        <f aca="false">G5*12</f>
        <v>87128.4</v>
      </c>
      <c r="I5" s="50" t="n">
        <f aca="false">J5/G5</f>
        <v>15.3966542356262</v>
      </c>
      <c r="J5" s="51" t="n">
        <f aca="false">G24</f>
        <v>111790.487408611</v>
      </c>
      <c r="K5" s="52" t="n">
        <f aca="false">J5*12</f>
        <v>1341485.84890334</v>
      </c>
    </row>
    <row r="6" customFormat="false" ht="15" hidden="false" customHeight="true" outlineLevel="0" collapsed="false">
      <c r="A6" s="45"/>
      <c r="B6" s="46"/>
      <c r="C6" s="46"/>
      <c r="D6" s="46"/>
      <c r="E6" s="47" t="s">
        <v>92</v>
      </c>
      <c r="F6" s="53" t="n">
        <v>41.7</v>
      </c>
      <c r="G6" s="49"/>
      <c r="H6" s="49"/>
      <c r="I6" s="50"/>
      <c r="J6" s="50"/>
      <c r="K6" s="52"/>
    </row>
    <row r="7" customFormat="false" ht="15" hidden="false" customHeight="true" outlineLevel="0" collapsed="false">
      <c r="A7" s="45"/>
      <c r="B7" s="46"/>
      <c r="C7" s="46"/>
      <c r="D7" s="46"/>
      <c r="E7" s="47" t="s">
        <v>93</v>
      </c>
      <c r="F7" s="48" t="n">
        <v>1814.5</v>
      </c>
      <c r="G7" s="49"/>
      <c r="H7" s="49"/>
      <c r="I7" s="50"/>
      <c r="J7" s="50"/>
      <c r="K7" s="52"/>
    </row>
    <row r="8" customFormat="false" ht="15" hidden="false" customHeight="true" outlineLevel="0" collapsed="false">
      <c r="A8" s="45"/>
      <c r="B8" s="46"/>
      <c r="C8" s="46"/>
      <c r="D8" s="47" t="s">
        <v>94</v>
      </c>
      <c r="E8" s="47" t="s">
        <v>95</v>
      </c>
      <c r="F8" s="53" t="n">
        <v>300.9</v>
      </c>
      <c r="G8" s="49"/>
      <c r="H8" s="49"/>
      <c r="I8" s="50"/>
      <c r="J8" s="50"/>
      <c r="K8" s="52"/>
    </row>
    <row r="9" customFormat="false" ht="15" hidden="false" customHeight="true" outlineLevel="0" collapsed="false">
      <c r="A9" s="45"/>
      <c r="B9" s="46"/>
      <c r="C9" s="46"/>
      <c r="D9" s="46" t="s">
        <v>96</v>
      </c>
      <c r="E9" s="46" t="s">
        <v>95</v>
      </c>
      <c r="F9" s="54" t="n">
        <v>471.7</v>
      </c>
      <c r="G9" s="49"/>
      <c r="H9" s="49"/>
      <c r="I9" s="50"/>
      <c r="J9" s="50"/>
      <c r="K9" s="52"/>
    </row>
    <row r="10" customFormat="false" ht="15" hidden="false" customHeight="true" outlineLevel="0" collapsed="false">
      <c r="A10" s="55"/>
      <c r="B10" s="56"/>
      <c r="C10" s="56"/>
      <c r="D10" s="56"/>
      <c r="E10" s="56"/>
      <c r="F10" s="56"/>
      <c r="G10" s="56"/>
      <c r="H10" s="56"/>
      <c r="I10" s="57" t="s">
        <v>97</v>
      </c>
      <c r="J10" s="58" t="n">
        <f aca="false">J5</f>
        <v>111790.487408611</v>
      </c>
      <c r="K10" s="58" t="n">
        <f aca="false">K5</f>
        <v>1341485.84890334</v>
      </c>
      <c r="L10" s="36"/>
    </row>
    <row r="11" customFormat="false" ht="14.25" hidden="false" customHeight="true" outlineLevel="0" collapsed="false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1"/>
    </row>
    <row r="12" customFormat="false" ht="15.75" hidden="false" customHeight="true" outlineLevel="0" collapsed="false">
      <c r="A12" s="39" t="s">
        <v>98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customFormat="false" ht="23.25" hidden="false" customHeight="true" outlineLevel="0" collapsed="false">
      <c r="A13" s="62" t="s">
        <v>99</v>
      </c>
      <c r="B13" s="63" t="s">
        <v>100</v>
      </c>
      <c r="C13" s="63" t="s">
        <v>101</v>
      </c>
      <c r="D13" s="63" t="s">
        <v>102</v>
      </c>
      <c r="E13" s="63"/>
      <c r="F13" s="63"/>
      <c r="G13" s="63" t="s">
        <v>103</v>
      </c>
      <c r="H13" s="63" t="s">
        <v>104</v>
      </c>
      <c r="I13" s="63"/>
      <c r="J13" s="63"/>
      <c r="K13" s="64" t="s">
        <v>105</v>
      </c>
    </row>
    <row r="14" customFormat="false" ht="30" hidden="false" customHeight="true" outlineLevel="0" collapsed="false">
      <c r="A14" s="65" t="n">
        <v>1</v>
      </c>
      <c r="B14" s="66" t="s">
        <v>106</v>
      </c>
      <c r="C14" s="67" t="s">
        <v>107</v>
      </c>
      <c r="D14" s="67" t="s">
        <v>108</v>
      </c>
      <c r="E14" s="67"/>
      <c r="F14" s="67"/>
      <c r="G14" s="67" t="s">
        <v>109</v>
      </c>
      <c r="H14" s="67" t="s">
        <v>110</v>
      </c>
      <c r="I14" s="67"/>
      <c r="J14" s="67"/>
      <c r="K14" s="68" t="n">
        <v>3</v>
      </c>
    </row>
    <row r="15" customFormat="false" ht="30" hidden="false" customHeight="true" outlineLevel="0" collapsed="false">
      <c r="A15" s="69" t="n">
        <v>2</v>
      </c>
      <c r="B15" s="70" t="s">
        <v>111</v>
      </c>
      <c r="C15" s="71" t="s">
        <v>112</v>
      </c>
      <c r="D15" s="71" t="s">
        <v>113</v>
      </c>
      <c r="E15" s="71"/>
      <c r="F15" s="71"/>
      <c r="G15" s="71" t="s">
        <v>114</v>
      </c>
      <c r="H15" s="71" t="s">
        <v>110</v>
      </c>
      <c r="I15" s="71"/>
      <c r="J15" s="71"/>
      <c r="K15" s="72" t="n">
        <v>2</v>
      </c>
    </row>
    <row r="16" customFormat="false" ht="15.75" hidden="false" customHeight="true" outlineLevel="0" collapsed="false">
      <c r="A16" s="73" t="s">
        <v>115</v>
      </c>
      <c r="B16" s="73"/>
      <c r="C16" s="73"/>
      <c r="D16" s="73"/>
      <c r="E16" s="73"/>
      <c r="F16" s="73"/>
      <c r="G16" s="73"/>
      <c r="H16" s="73"/>
      <c r="I16" s="73"/>
      <c r="J16" s="73"/>
      <c r="K16" s="74" t="n">
        <f aca="false">SUM(K14:K15)</f>
        <v>5</v>
      </c>
    </row>
    <row r="17" customFormat="false" ht="13.8" hidden="false" customHeight="false" outlineLevel="0" collapsed="false">
      <c r="A17" s="75"/>
      <c r="B17" s="76"/>
      <c r="C17" s="76"/>
      <c r="D17" s="76"/>
      <c r="E17" s="76"/>
      <c r="F17" s="76"/>
      <c r="G17" s="76"/>
      <c r="H17" s="76"/>
      <c r="I17" s="77"/>
      <c r="J17" s="77"/>
      <c r="K17" s="78"/>
    </row>
    <row r="18" customFormat="false" ht="13.8" hidden="false" customHeight="false" outlineLevel="0" collapsed="false">
      <c r="A18" s="79" t="s">
        <v>116</v>
      </c>
      <c r="B18" s="79"/>
      <c r="C18" s="79"/>
      <c r="D18" s="79"/>
      <c r="E18" s="79"/>
      <c r="F18" s="79"/>
      <c r="G18" s="79"/>
      <c r="H18" s="79"/>
      <c r="I18" s="77"/>
      <c r="J18" s="77"/>
      <c r="K18" s="78"/>
    </row>
    <row r="19" customFormat="false" ht="35.05" hidden="false" customHeight="false" outlineLevel="0" collapsed="false">
      <c r="A19" s="40" t="s">
        <v>79</v>
      </c>
      <c r="B19" s="42" t="s">
        <v>117</v>
      </c>
      <c r="C19" s="42"/>
      <c r="D19" s="42"/>
      <c r="E19" s="41" t="s">
        <v>118</v>
      </c>
      <c r="F19" s="41" t="s">
        <v>119</v>
      </c>
      <c r="G19" s="43" t="s">
        <v>120</v>
      </c>
      <c r="H19" s="44" t="s">
        <v>121</v>
      </c>
      <c r="I19" s="77"/>
      <c r="J19" s="77"/>
      <c r="K19" s="78"/>
    </row>
    <row r="20" customFormat="false" ht="13.8" hidden="false" customHeight="false" outlineLevel="0" collapsed="false">
      <c r="A20" s="80" t="n">
        <v>1</v>
      </c>
      <c r="B20" s="66" t="s">
        <v>122</v>
      </c>
      <c r="C20" s="66"/>
      <c r="D20" s="66"/>
      <c r="E20" s="81" t="n">
        <f aca="false">'Agente de Coleta - Diurno '!E112</f>
        <v>8875.14024789873</v>
      </c>
      <c r="F20" s="66" t="n">
        <f aca="false">K14*2</f>
        <v>6</v>
      </c>
      <c r="G20" s="81" t="n">
        <f aca="false">E20*F20</f>
        <v>53250.8414873924</v>
      </c>
      <c r="H20" s="82" t="n">
        <f aca="false">G20*12</f>
        <v>639010.097848709</v>
      </c>
      <c r="I20" s="77"/>
      <c r="J20" s="77"/>
      <c r="K20" s="78"/>
    </row>
    <row r="21" customFormat="false" ht="13.8" hidden="false" customHeight="false" outlineLevel="0" collapsed="false">
      <c r="A21" s="80" t="n">
        <v>1</v>
      </c>
      <c r="B21" s="66" t="s">
        <v>123</v>
      </c>
      <c r="C21" s="66"/>
      <c r="D21" s="66"/>
      <c r="E21" s="81" t="n">
        <f aca="false">'Agente de Coleta - Noturno'!E112</f>
        <v>9565.69704595675</v>
      </c>
      <c r="F21" s="66" t="n">
        <f aca="false">K15*2</f>
        <v>4</v>
      </c>
      <c r="G21" s="81" t="n">
        <f aca="false">E21*F21</f>
        <v>38262.788183827</v>
      </c>
      <c r="H21" s="82" t="n">
        <f aca="false">G21*12</f>
        <v>459153.458205924</v>
      </c>
      <c r="I21" s="77"/>
      <c r="J21" s="77"/>
      <c r="K21" s="78"/>
    </row>
    <row r="22" customFormat="false" ht="13.8" hidden="false" customHeight="false" outlineLevel="0" collapsed="false">
      <c r="A22" s="80" t="n">
        <v>2</v>
      </c>
      <c r="B22" s="66" t="s">
        <v>124</v>
      </c>
      <c r="C22" s="66"/>
      <c r="D22" s="66"/>
      <c r="E22" s="81" t="n">
        <f aca="false">Motorista!E112</f>
        <v>10800.4083116606</v>
      </c>
      <c r="F22" s="66" t="n">
        <v>1</v>
      </c>
      <c r="G22" s="81" t="n">
        <f aca="false">E22*F22</f>
        <v>10800.4083116606</v>
      </c>
      <c r="H22" s="82" t="n">
        <f aca="false">G22*12</f>
        <v>129604.899739928</v>
      </c>
      <c r="I22" s="77"/>
      <c r="J22" s="77"/>
      <c r="K22" s="78"/>
    </row>
    <row r="23" customFormat="false" ht="13.8" hidden="false" customHeight="false" outlineLevel="0" collapsed="false">
      <c r="A23" s="83" t="n">
        <v>3</v>
      </c>
      <c r="B23" s="84" t="s">
        <v>125</v>
      </c>
      <c r="C23" s="84"/>
      <c r="D23" s="84"/>
      <c r="E23" s="85" t="n">
        <f aca="false">'Responsavel Tecnico'!E112</f>
        <v>9476.44942573136</v>
      </c>
      <c r="F23" s="84" t="n">
        <v>1</v>
      </c>
      <c r="G23" s="85" t="n">
        <f aca="false">E23*F23</f>
        <v>9476.44942573136</v>
      </c>
      <c r="H23" s="86" t="n">
        <f aca="false">G23*12</f>
        <v>113717.393108776</v>
      </c>
      <c r="I23" s="77"/>
      <c r="J23" s="77"/>
      <c r="K23" s="78"/>
    </row>
    <row r="24" customFormat="false" ht="13.8" hidden="false" customHeight="false" outlineLevel="0" collapsed="false">
      <c r="A24" s="87"/>
      <c r="B24" s="87"/>
      <c r="C24" s="87"/>
      <c r="D24" s="87"/>
      <c r="E24" s="87"/>
      <c r="F24" s="88" t="n">
        <f aca="false">SUM(F20:F23)</f>
        <v>12</v>
      </c>
      <c r="G24" s="89" t="n">
        <f aca="false">SUM(G20:G23)</f>
        <v>111790.487408611</v>
      </c>
      <c r="H24" s="89" t="n">
        <f aca="false">SUM(H20:H23)</f>
        <v>1341485.84890334</v>
      </c>
      <c r="I24" s="77"/>
      <c r="J24" s="77"/>
      <c r="K24" s="78"/>
    </row>
    <row r="25" customFormat="false" ht="13.8" hidden="false" customHeight="false" outlineLevel="0" collapsed="false">
      <c r="A25" s="90" t="s">
        <v>126</v>
      </c>
      <c r="B25" s="90"/>
      <c r="C25" s="90"/>
      <c r="D25" s="90"/>
      <c r="E25" s="90"/>
      <c r="F25" s="90"/>
      <c r="G25" s="90"/>
      <c r="H25" s="58" t="n">
        <f aca="false">H24</f>
        <v>1341485.84890334</v>
      </c>
      <c r="I25" s="91"/>
      <c r="J25" s="91"/>
      <c r="K25" s="92"/>
    </row>
  </sheetData>
  <mergeCells count="28">
    <mergeCell ref="A1:K1"/>
    <mergeCell ref="A2:K2"/>
    <mergeCell ref="A3:K3"/>
    <mergeCell ref="A5:A9"/>
    <mergeCell ref="B5:B9"/>
    <mergeCell ref="C5:C9"/>
    <mergeCell ref="D5:D7"/>
    <mergeCell ref="G5:G9"/>
    <mergeCell ref="H5:H9"/>
    <mergeCell ref="I5:I9"/>
    <mergeCell ref="J5:J9"/>
    <mergeCell ref="K5:K9"/>
    <mergeCell ref="A12:K12"/>
    <mergeCell ref="D13:F13"/>
    <mergeCell ref="H13:J13"/>
    <mergeCell ref="D14:F14"/>
    <mergeCell ref="H14:J14"/>
    <mergeCell ref="D15:F15"/>
    <mergeCell ref="H15:J15"/>
    <mergeCell ref="A16:J16"/>
    <mergeCell ref="A18:H18"/>
    <mergeCell ref="B19:D19"/>
    <mergeCell ref="B20:D20"/>
    <mergeCell ref="B21:D21"/>
    <mergeCell ref="B22:D22"/>
    <mergeCell ref="B23:D23"/>
    <mergeCell ref="A24:E24"/>
    <mergeCell ref="A25:G25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15" zoomScalePageLayoutView="100" workbookViewId="0">
      <selection pane="topLeft" activeCell="E48" activeCellId="0" sqref="E4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3" width="8.71"/>
    <col collapsed="false" customWidth="true" hidden="false" outlineLevel="0" max="2" min="2" style="94" width="70.71"/>
    <col collapsed="false" customWidth="true" hidden="false" outlineLevel="0" max="3" min="3" style="94" width="12.71"/>
    <col collapsed="false" customWidth="true" hidden="false" outlineLevel="0" max="4" min="4" style="95" width="8.71"/>
    <col collapsed="false" customWidth="true" hidden="false" outlineLevel="0" max="5" min="5" style="96" width="12.71"/>
    <col collapsed="false" customWidth="false" hidden="false" outlineLevel="0" max="16384" min="6" style="97" width="9.14"/>
  </cols>
  <sheetData>
    <row r="1" s="99" customFormat="true" ht="15.75" hidden="false" customHeight="false" outlineLevel="0" collapsed="false">
      <c r="A1" s="98"/>
      <c r="B1" s="98"/>
      <c r="C1" s="98"/>
      <c r="D1" s="98"/>
      <c r="E1" s="98"/>
    </row>
    <row r="2" s="99" customFormat="true" ht="16.5" hidden="false" customHeight="true" outlineLevel="0" collapsed="false">
      <c r="A2" s="100"/>
      <c r="B2" s="100"/>
      <c r="C2" s="100"/>
      <c r="D2" s="100"/>
      <c r="E2" s="100"/>
    </row>
    <row r="3" s="99" customFormat="true" ht="15.75" hidden="false" customHeight="false" outlineLevel="0" collapsed="false">
      <c r="A3" s="101" t="s">
        <v>127</v>
      </c>
      <c r="B3" s="101"/>
      <c r="C3" s="101"/>
      <c r="D3" s="101"/>
      <c r="E3" s="101"/>
    </row>
    <row r="4" s="99" customFormat="true" ht="15" hidden="false" customHeight="true" outlineLevel="0" collapsed="false">
      <c r="A4" s="102" t="s">
        <v>90</v>
      </c>
      <c r="B4" s="103" t="s">
        <v>128</v>
      </c>
      <c r="C4" s="104" t="n">
        <v>2025</v>
      </c>
      <c r="D4" s="104"/>
      <c r="E4" s="104"/>
    </row>
    <row r="5" s="99" customFormat="true" ht="75" hidden="false" customHeight="true" outlineLevel="0" collapsed="false">
      <c r="A5" s="102" t="s">
        <v>94</v>
      </c>
      <c r="B5" s="103" t="s">
        <v>129</v>
      </c>
      <c r="C5" s="105" t="s">
        <v>130</v>
      </c>
      <c r="D5" s="105"/>
      <c r="E5" s="105"/>
    </row>
    <row r="6" s="99" customFormat="true" ht="15.75" hidden="false" customHeight="true" outlineLevel="0" collapsed="false">
      <c r="A6" s="102" t="s">
        <v>131</v>
      </c>
      <c r="B6" s="103" t="s">
        <v>132</v>
      </c>
      <c r="C6" s="105" t="s">
        <v>133</v>
      </c>
      <c r="D6" s="105"/>
      <c r="E6" s="105"/>
    </row>
    <row r="7" s="99" customFormat="true" ht="15.75" hidden="false" customHeight="false" outlineLevel="0" collapsed="false">
      <c r="A7" s="102"/>
      <c r="B7" s="103" t="s">
        <v>134</v>
      </c>
      <c r="C7" s="105" t="n">
        <v>12</v>
      </c>
      <c r="D7" s="105"/>
      <c r="E7" s="105"/>
    </row>
    <row r="8" s="99" customFormat="true" ht="15.75" hidden="false" customHeight="false" outlineLevel="0" collapsed="false">
      <c r="A8" s="101" t="s">
        <v>135</v>
      </c>
      <c r="B8" s="101"/>
      <c r="C8" s="101"/>
      <c r="D8" s="101"/>
      <c r="E8" s="101"/>
    </row>
    <row r="9" s="99" customFormat="true" ht="15.75" hidden="false" customHeight="false" outlineLevel="0" collapsed="false">
      <c r="A9" s="101" t="s">
        <v>136</v>
      </c>
      <c r="B9" s="101"/>
      <c r="C9" s="101"/>
      <c r="D9" s="101"/>
      <c r="E9" s="101"/>
    </row>
    <row r="10" s="99" customFormat="true" ht="15.75" hidden="false" customHeight="true" outlineLevel="0" collapsed="false">
      <c r="A10" s="101" t="s">
        <v>137</v>
      </c>
      <c r="B10" s="101"/>
      <c r="C10" s="101"/>
      <c r="D10" s="101"/>
      <c r="E10" s="101"/>
    </row>
    <row r="11" s="99" customFormat="true" ht="30" hidden="false" customHeight="true" outlineLevel="0" collapsed="false">
      <c r="A11" s="106" t="s">
        <v>138</v>
      </c>
      <c r="B11" s="106"/>
      <c r="C11" s="106"/>
      <c r="D11" s="106"/>
      <c r="E11" s="107" t="s">
        <v>139</v>
      </c>
    </row>
    <row r="12" s="99" customFormat="true" ht="75" hidden="false" customHeight="true" outlineLevel="0" collapsed="false">
      <c r="A12" s="102" t="n">
        <v>1</v>
      </c>
      <c r="B12" s="108" t="s">
        <v>140</v>
      </c>
      <c r="C12" s="109" t="s">
        <v>141</v>
      </c>
      <c r="D12" s="109"/>
      <c r="E12" s="109"/>
    </row>
    <row r="13" s="99" customFormat="true" ht="30" hidden="false" customHeight="true" outlineLevel="0" collapsed="false">
      <c r="A13" s="102" t="n">
        <v>2</v>
      </c>
      <c r="B13" s="108" t="s">
        <v>142</v>
      </c>
      <c r="C13" s="110" t="n">
        <v>1974.3</v>
      </c>
      <c r="D13" s="110"/>
      <c r="E13" s="110"/>
    </row>
    <row r="14" s="111" customFormat="true" ht="30" hidden="false" customHeight="true" outlineLevel="0" collapsed="false">
      <c r="A14" s="102" t="n">
        <v>3</v>
      </c>
      <c r="B14" s="108" t="s">
        <v>143</v>
      </c>
      <c r="C14" s="109" t="s">
        <v>144</v>
      </c>
      <c r="D14" s="109"/>
      <c r="E14" s="109"/>
    </row>
    <row r="15" s="111" customFormat="true" ht="15.75" hidden="false" customHeight="false" outlineLevel="0" collapsed="false">
      <c r="A15" s="102" t="n">
        <v>4</v>
      </c>
      <c r="B15" s="112" t="s">
        <v>145</v>
      </c>
      <c r="C15" s="113" t="n">
        <v>45673</v>
      </c>
      <c r="D15" s="113"/>
      <c r="E15" s="113"/>
    </row>
    <row r="16" s="99" customFormat="true" ht="15.75" hidden="false" customHeight="false" outlineLevel="0" collapsed="false">
      <c r="A16" s="114" t="s">
        <v>146</v>
      </c>
      <c r="B16" s="114"/>
      <c r="C16" s="114"/>
      <c r="D16" s="114"/>
      <c r="E16" s="114"/>
    </row>
    <row r="17" s="99" customFormat="true" ht="15.75" hidden="false" customHeight="true" outlineLevel="0" collapsed="false">
      <c r="A17" s="106" t="n">
        <v>1</v>
      </c>
      <c r="B17" s="115" t="s">
        <v>147</v>
      </c>
      <c r="C17" s="115"/>
      <c r="D17" s="115"/>
      <c r="E17" s="116" t="s">
        <v>139</v>
      </c>
    </row>
    <row r="18" s="99" customFormat="true" ht="15.75" hidden="false" customHeight="true" outlineLevel="0" collapsed="false">
      <c r="A18" s="117" t="s">
        <v>90</v>
      </c>
      <c r="B18" s="118" t="s">
        <v>148</v>
      </c>
      <c r="C18" s="112"/>
      <c r="D18" s="112"/>
      <c r="E18" s="119" t="n">
        <f aca="false">C13</f>
        <v>1974.3</v>
      </c>
    </row>
    <row r="19" s="111" customFormat="true" ht="15.75" hidden="false" customHeight="true" outlineLevel="0" collapsed="false">
      <c r="A19" s="117" t="s">
        <v>94</v>
      </c>
      <c r="B19" s="118" t="s">
        <v>149</v>
      </c>
      <c r="C19" s="120" t="s">
        <v>150</v>
      </c>
      <c r="D19" s="120"/>
      <c r="E19" s="119"/>
    </row>
    <row r="20" s="111" customFormat="true" ht="15.75" hidden="false" customHeight="true" outlineLevel="0" collapsed="false">
      <c r="A20" s="117" t="s">
        <v>131</v>
      </c>
      <c r="B20" s="118" t="s">
        <v>151</v>
      </c>
      <c r="C20" s="121" t="s">
        <v>152</v>
      </c>
      <c r="D20" s="121"/>
      <c r="E20" s="82" t="n">
        <f aca="false">40%*1621</f>
        <v>648.4</v>
      </c>
    </row>
    <row r="21" s="99" customFormat="true" ht="15.75" hidden="false" customHeight="true" outlineLevel="0" collapsed="false">
      <c r="A21" s="117" t="s">
        <v>153</v>
      </c>
      <c r="B21" s="118" t="s">
        <v>154</v>
      </c>
      <c r="C21" s="120" t="s">
        <v>155</v>
      </c>
      <c r="D21" s="120"/>
      <c r="E21" s="119"/>
    </row>
    <row r="22" s="99" customFormat="true" ht="15.75" hidden="false" customHeight="true" outlineLevel="0" collapsed="false">
      <c r="A22" s="117" t="s">
        <v>96</v>
      </c>
      <c r="B22" s="118" t="s">
        <v>156</v>
      </c>
      <c r="C22" s="120" t="s">
        <v>157</v>
      </c>
      <c r="D22" s="120"/>
      <c r="E22" s="119"/>
    </row>
    <row r="23" s="99" customFormat="true" ht="15.75" hidden="false" customHeight="false" outlineLevel="0" collapsed="false">
      <c r="A23" s="117" t="s">
        <v>158</v>
      </c>
      <c r="B23" s="118" t="s">
        <v>159</v>
      </c>
      <c r="C23" s="122"/>
      <c r="D23" s="122"/>
      <c r="E23" s="119"/>
    </row>
    <row r="24" customFormat="false" ht="15.75" hidden="false" customHeight="true" outlineLevel="0" collapsed="false">
      <c r="A24" s="117" t="s">
        <v>160</v>
      </c>
      <c r="B24" s="123" t="s">
        <v>161</v>
      </c>
      <c r="C24" s="122"/>
      <c r="D24" s="122"/>
      <c r="E24" s="119"/>
    </row>
    <row r="25" customFormat="false" ht="15.75" hidden="false" customHeight="true" outlineLevel="0" collapsed="false">
      <c r="A25" s="124" t="s">
        <v>162</v>
      </c>
      <c r="B25" s="124"/>
      <c r="C25" s="124"/>
      <c r="D25" s="124"/>
      <c r="E25" s="125" t="n">
        <f aca="false">SUM(E18:E24)</f>
        <v>2622.7</v>
      </c>
    </row>
    <row r="26" customFormat="false" ht="15.75" hidden="false" customHeight="false" outlineLevel="0" collapsed="false">
      <c r="A26" s="114" t="s">
        <v>163</v>
      </c>
      <c r="B26" s="114"/>
      <c r="C26" s="114"/>
      <c r="D26" s="114"/>
      <c r="E26" s="114"/>
    </row>
    <row r="27" customFormat="false" ht="30" hidden="false" customHeight="true" outlineLevel="0" collapsed="false">
      <c r="A27" s="126" t="n">
        <v>2</v>
      </c>
      <c r="B27" s="127" t="s">
        <v>164</v>
      </c>
      <c r="C27" s="128" t="s">
        <v>165</v>
      </c>
      <c r="D27" s="129"/>
      <c r="E27" s="130" t="s">
        <v>139</v>
      </c>
    </row>
    <row r="28" customFormat="false" ht="15.75" hidden="false" customHeight="false" outlineLevel="0" collapsed="false">
      <c r="A28" s="131" t="s">
        <v>90</v>
      </c>
      <c r="B28" s="132" t="s">
        <v>166</v>
      </c>
      <c r="C28" s="133" t="n">
        <f aca="false">E25</f>
        <v>2622.7</v>
      </c>
      <c r="D28" s="134" t="n">
        <f aca="false">1/12</f>
        <v>0.0833333333333333</v>
      </c>
      <c r="E28" s="82" t="n">
        <f aca="false">(E25)*D28</f>
        <v>218.558333333333</v>
      </c>
    </row>
    <row r="29" customFormat="false" ht="15.75" hidden="false" customHeight="false" outlineLevel="0" collapsed="false">
      <c r="A29" s="131" t="s">
        <v>94</v>
      </c>
      <c r="B29" s="135" t="s">
        <v>167</v>
      </c>
      <c r="C29" s="133" t="n">
        <f aca="false">E25</f>
        <v>2622.7</v>
      </c>
      <c r="D29" s="134" t="n">
        <v>0.1111</v>
      </c>
      <c r="E29" s="82" t="n">
        <f aca="false">(E25)*D29</f>
        <v>291.38197</v>
      </c>
    </row>
    <row r="30" customFormat="false" ht="15.75" hidden="false" customHeight="true" outlineLevel="0" collapsed="false">
      <c r="A30" s="136" t="s">
        <v>168</v>
      </c>
      <c r="B30" s="136"/>
      <c r="C30" s="136"/>
      <c r="D30" s="137" t="n">
        <f aca="false">SUM(D28:D29)</f>
        <v>0.194433333333333</v>
      </c>
      <c r="E30" s="138" t="n">
        <f aca="false">SUM(E28:E29)</f>
        <v>509.940303333333</v>
      </c>
    </row>
    <row r="31" customFormat="false" ht="30" hidden="false" customHeight="true" outlineLevel="0" collapsed="false">
      <c r="A31" s="139" t="s">
        <v>169</v>
      </c>
      <c r="B31" s="139"/>
      <c r="C31" s="139"/>
      <c r="D31" s="139"/>
      <c r="E31" s="139"/>
    </row>
    <row r="32" customFormat="false" ht="30" hidden="false" customHeight="true" outlineLevel="0" collapsed="false">
      <c r="A32" s="140" t="s">
        <v>170</v>
      </c>
      <c r="B32" s="141" t="s">
        <v>171</v>
      </c>
      <c r="C32" s="63" t="s">
        <v>165</v>
      </c>
      <c r="D32" s="142"/>
      <c r="E32" s="143" t="s">
        <v>139</v>
      </c>
    </row>
    <row r="33" customFormat="false" ht="15" hidden="false" customHeight="true" outlineLevel="0" collapsed="false">
      <c r="A33" s="131" t="s">
        <v>90</v>
      </c>
      <c r="B33" s="144" t="s">
        <v>172</v>
      </c>
      <c r="C33" s="133" t="n">
        <f aca="false">E$25+E$30</f>
        <v>3132.64030333333</v>
      </c>
      <c r="D33" s="134" t="n">
        <v>0.2</v>
      </c>
      <c r="E33" s="82" t="n">
        <f aca="false">C33*D33</f>
        <v>626.528060666667</v>
      </c>
    </row>
    <row r="34" s="146" customFormat="true" ht="15.75" hidden="false" customHeight="false" outlineLevel="0" collapsed="false">
      <c r="A34" s="131" t="s">
        <v>94</v>
      </c>
      <c r="B34" s="144" t="s">
        <v>173</v>
      </c>
      <c r="C34" s="133" t="n">
        <f aca="false">E$25+E$30</f>
        <v>3132.64030333333</v>
      </c>
      <c r="D34" s="145" t="n">
        <v>0.025</v>
      </c>
      <c r="E34" s="82" t="n">
        <f aca="false">C34*D34</f>
        <v>78.3160075833333</v>
      </c>
    </row>
    <row r="35" s="146" customFormat="true" ht="35.05" hidden="false" customHeight="false" outlineLevel="0" collapsed="false">
      <c r="A35" s="131" t="s">
        <v>131</v>
      </c>
      <c r="B35" s="147" t="s">
        <v>174</v>
      </c>
      <c r="C35" s="133" t="n">
        <f aca="false">E$25+E$30</f>
        <v>3132.64030333333</v>
      </c>
      <c r="D35" s="145" t="n">
        <v>0.03</v>
      </c>
      <c r="E35" s="82" t="n">
        <f aca="false">C35*D35</f>
        <v>93.9792091</v>
      </c>
    </row>
    <row r="36" s="146" customFormat="true" ht="15.75" hidden="false" customHeight="false" outlineLevel="0" collapsed="false">
      <c r="A36" s="131" t="s">
        <v>153</v>
      </c>
      <c r="B36" s="144" t="s">
        <v>175</v>
      </c>
      <c r="C36" s="133" t="n">
        <f aca="false">E$25+E$30</f>
        <v>3132.64030333333</v>
      </c>
      <c r="D36" s="145" t="n">
        <v>0.015</v>
      </c>
      <c r="E36" s="82" t="n">
        <f aca="false">C36*D36</f>
        <v>46.98960455</v>
      </c>
    </row>
    <row r="37" s="146" customFormat="true" ht="15.75" hidden="false" customHeight="false" outlineLevel="0" collapsed="false">
      <c r="A37" s="131" t="s">
        <v>96</v>
      </c>
      <c r="B37" s="144" t="s">
        <v>176</v>
      </c>
      <c r="C37" s="133" t="n">
        <f aca="false">E$25+E$30</f>
        <v>3132.64030333333</v>
      </c>
      <c r="D37" s="145" t="n">
        <v>0.01</v>
      </c>
      <c r="E37" s="82" t="n">
        <f aca="false">C37*D37</f>
        <v>31.3264030333333</v>
      </c>
    </row>
    <row r="38" s="146" customFormat="true" ht="15.75" hidden="false" customHeight="false" outlineLevel="0" collapsed="false">
      <c r="A38" s="131" t="s">
        <v>158</v>
      </c>
      <c r="B38" s="148" t="s">
        <v>177</v>
      </c>
      <c r="C38" s="133" t="n">
        <f aca="false">E$25+E$30</f>
        <v>3132.64030333333</v>
      </c>
      <c r="D38" s="145" t="n">
        <v>0.006</v>
      </c>
      <c r="E38" s="82" t="n">
        <f aca="false">C38*D38</f>
        <v>18.79584182</v>
      </c>
    </row>
    <row r="39" s="146" customFormat="true" ht="23.85" hidden="false" customHeight="false" outlineLevel="0" collapsed="false">
      <c r="A39" s="131" t="s">
        <v>160</v>
      </c>
      <c r="B39" s="147" t="s">
        <v>178</v>
      </c>
      <c r="C39" s="133" t="n">
        <f aca="false">E$25+E$30</f>
        <v>3132.64030333333</v>
      </c>
      <c r="D39" s="145" t="n">
        <v>0.002</v>
      </c>
      <c r="E39" s="82" t="n">
        <f aca="false">C39*D39</f>
        <v>6.26528060666667</v>
      </c>
    </row>
    <row r="40" s="146" customFormat="true" ht="15.75" hidden="false" customHeight="false" outlineLevel="0" collapsed="false">
      <c r="A40" s="131" t="s">
        <v>179</v>
      </c>
      <c r="B40" s="144" t="s">
        <v>180</v>
      </c>
      <c r="C40" s="133" t="n">
        <f aca="false">E$25+E$30</f>
        <v>3132.64030333333</v>
      </c>
      <c r="D40" s="145" t="n">
        <v>0.08</v>
      </c>
      <c r="E40" s="82" t="n">
        <f aca="false">C40*D40</f>
        <v>250.611224266667</v>
      </c>
    </row>
    <row r="41" s="146" customFormat="true" ht="15.75" hidden="false" customHeight="true" outlineLevel="0" collapsed="false">
      <c r="A41" s="136" t="s">
        <v>168</v>
      </c>
      <c r="B41" s="136"/>
      <c r="C41" s="136"/>
      <c r="D41" s="149" t="n">
        <f aca="false">SUM(D33:D40)</f>
        <v>0.368</v>
      </c>
      <c r="E41" s="138" t="n">
        <f aca="false">SUM(E33:E40)</f>
        <v>1152.81163162667</v>
      </c>
    </row>
    <row r="42" s="146" customFormat="true" ht="15.75" hidden="false" customHeight="false" outlineLevel="0" collapsed="false">
      <c r="A42" s="150" t="s">
        <v>181</v>
      </c>
      <c r="B42" s="150"/>
      <c r="C42" s="150"/>
      <c r="D42" s="150"/>
      <c r="E42" s="150"/>
    </row>
    <row r="43" s="146" customFormat="true" ht="30" hidden="false" customHeight="true" outlineLevel="0" collapsed="false">
      <c r="A43" s="151" t="s">
        <v>182</v>
      </c>
      <c r="B43" s="152" t="s">
        <v>183</v>
      </c>
      <c r="C43" s="128" t="s">
        <v>165</v>
      </c>
      <c r="D43" s="129"/>
      <c r="E43" s="130" t="s">
        <v>139</v>
      </c>
    </row>
    <row r="44" s="146" customFormat="true" ht="15.75" hidden="false" customHeight="false" outlineLevel="0" collapsed="false">
      <c r="A44" s="153" t="s">
        <v>90</v>
      </c>
      <c r="B44" s="154" t="s">
        <v>184</v>
      </c>
      <c r="C44" s="155" t="n">
        <v>0</v>
      </c>
      <c r="D44" s="154"/>
      <c r="E44" s="156" t="n">
        <v>0</v>
      </c>
    </row>
    <row r="45" s="146" customFormat="true" ht="15.75" hidden="false" customHeight="false" outlineLevel="0" collapsed="false">
      <c r="A45" s="157" t="s">
        <v>94</v>
      </c>
      <c r="B45" s="123" t="s">
        <v>185</v>
      </c>
      <c r="C45" s="158" t="n">
        <v>626.94</v>
      </c>
      <c r="D45" s="122"/>
      <c r="E45" s="119" t="n">
        <f aca="false">C45-(C45*0.99%)</f>
        <v>620.733294</v>
      </c>
    </row>
    <row r="46" s="146" customFormat="true" ht="15.75" hidden="false" customHeight="false" outlineLevel="0" collapsed="false">
      <c r="A46" s="131" t="s">
        <v>131</v>
      </c>
      <c r="B46" s="132" t="s">
        <v>186</v>
      </c>
      <c r="C46" s="159"/>
      <c r="D46" s="160"/>
      <c r="E46" s="82" t="n">
        <v>0</v>
      </c>
    </row>
    <row r="47" s="146" customFormat="true" ht="23.85" hidden="false" customHeight="false" outlineLevel="0" collapsed="false">
      <c r="A47" s="131" t="s">
        <v>153</v>
      </c>
      <c r="B47" s="132" t="s">
        <v>187</v>
      </c>
      <c r="C47" s="159" t="s">
        <v>188</v>
      </c>
      <c r="D47" s="160"/>
      <c r="E47" s="82" t="n">
        <f aca="false">C13*50%*0.0199*2/12</f>
        <v>3.2740475</v>
      </c>
    </row>
    <row r="48" s="146" customFormat="true" ht="15.75" hidden="false" customHeight="false" outlineLevel="0" collapsed="false">
      <c r="A48" s="131" t="s">
        <v>96</v>
      </c>
      <c r="B48" s="132" t="s">
        <v>189</v>
      </c>
      <c r="C48" s="66"/>
      <c r="D48" s="160"/>
      <c r="E48" s="82" t="n">
        <v>5.82</v>
      </c>
    </row>
    <row r="49" s="146" customFormat="true" ht="15.75" hidden="false" customHeight="true" outlineLevel="0" collapsed="false">
      <c r="A49" s="136" t="s">
        <v>190</v>
      </c>
      <c r="B49" s="136"/>
      <c r="C49" s="136"/>
      <c r="D49" s="136"/>
      <c r="E49" s="138" t="n">
        <f aca="false">SUM(E44:E48)</f>
        <v>629.8273415</v>
      </c>
    </row>
    <row r="50" s="146" customFormat="true" ht="15.75" hidden="false" customHeight="true" outlineLevel="0" collapsed="false">
      <c r="A50" s="150" t="s">
        <v>191</v>
      </c>
      <c r="B50" s="150"/>
      <c r="C50" s="150"/>
      <c r="D50" s="150"/>
      <c r="E50" s="150"/>
    </row>
    <row r="51" s="146" customFormat="true" ht="15.75" hidden="false" customHeight="true" outlineLevel="0" collapsed="false">
      <c r="A51" s="106" t="s">
        <v>170</v>
      </c>
      <c r="B51" s="161" t="s">
        <v>192</v>
      </c>
      <c r="C51" s="162"/>
      <c r="D51" s="162"/>
      <c r="E51" s="163" t="n">
        <f aca="false">E30</f>
        <v>509.940303333333</v>
      </c>
    </row>
    <row r="52" s="146" customFormat="true" ht="15.75" hidden="false" customHeight="true" outlineLevel="0" collapsed="false">
      <c r="A52" s="106" t="s">
        <v>193</v>
      </c>
      <c r="B52" s="161" t="s">
        <v>194</v>
      </c>
      <c r="C52" s="162"/>
      <c r="D52" s="162"/>
      <c r="E52" s="163" t="n">
        <f aca="false">E41</f>
        <v>1152.81163162667</v>
      </c>
    </row>
    <row r="53" s="146" customFormat="true" ht="15.75" hidden="false" customHeight="true" outlineLevel="0" collapsed="false">
      <c r="A53" s="106" t="s">
        <v>182</v>
      </c>
      <c r="B53" s="161" t="s">
        <v>195</v>
      </c>
      <c r="C53" s="162"/>
      <c r="D53" s="162"/>
      <c r="E53" s="163" t="n">
        <f aca="false">E49</f>
        <v>629.8273415</v>
      </c>
    </row>
    <row r="54" s="146" customFormat="true" ht="15.75" hidden="false" customHeight="true" outlineLevel="0" collapsed="false">
      <c r="A54" s="124" t="s">
        <v>196</v>
      </c>
      <c r="B54" s="124"/>
      <c r="C54" s="124"/>
      <c r="D54" s="124"/>
      <c r="E54" s="125" t="n">
        <f aca="false">SUM(E51:E53)</f>
        <v>2292.57927646</v>
      </c>
    </row>
    <row r="55" s="146" customFormat="true" ht="15.75" hidden="false" customHeight="true" outlineLevel="0" collapsed="false">
      <c r="A55" s="114" t="s">
        <v>197</v>
      </c>
      <c r="B55" s="114"/>
      <c r="C55" s="114"/>
      <c r="D55" s="114"/>
      <c r="E55" s="114"/>
    </row>
    <row r="56" s="146" customFormat="true" ht="30" hidden="false" customHeight="true" outlineLevel="0" collapsed="false">
      <c r="A56" s="140" t="s">
        <v>198</v>
      </c>
      <c r="B56" s="141" t="s">
        <v>199</v>
      </c>
      <c r="C56" s="164" t="s">
        <v>165</v>
      </c>
      <c r="D56" s="67"/>
      <c r="E56" s="143" t="s">
        <v>139</v>
      </c>
    </row>
    <row r="57" s="146" customFormat="true" ht="15.75" hidden="false" customHeight="true" outlineLevel="0" collapsed="false">
      <c r="A57" s="131" t="s">
        <v>90</v>
      </c>
      <c r="B57" s="132" t="s">
        <v>200</v>
      </c>
      <c r="C57" s="165" t="n">
        <f aca="false">E$25+E$30</f>
        <v>3132.64030333333</v>
      </c>
      <c r="D57" s="134" t="n">
        <v>0.0046</v>
      </c>
      <c r="E57" s="82" t="n">
        <f aca="false">C57*D57</f>
        <v>14.4101453953333</v>
      </c>
    </row>
    <row r="58" s="146" customFormat="true" ht="15.75" hidden="false" customHeight="true" outlineLevel="0" collapsed="false">
      <c r="A58" s="131" t="s">
        <v>94</v>
      </c>
      <c r="B58" s="132" t="s">
        <v>201</v>
      </c>
      <c r="C58" s="165" t="n">
        <f aca="false">E$25+E$30</f>
        <v>3132.64030333333</v>
      </c>
      <c r="D58" s="134" t="n">
        <v>0.0004</v>
      </c>
      <c r="E58" s="82" t="n">
        <f aca="false">C58*D58</f>
        <v>1.25305612133333</v>
      </c>
    </row>
    <row r="59" s="146" customFormat="true" ht="15.75" hidden="false" customHeight="true" outlineLevel="0" collapsed="false">
      <c r="A59" s="131" t="s">
        <v>131</v>
      </c>
      <c r="B59" s="132" t="s">
        <v>202</v>
      </c>
      <c r="C59" s="165" t="n">
        <f aca="false">E$25+E$30</f>
        <v>3132.64030333333</v>
      </c>
      <c r="D59" s="134" t="n">
        <v>0.0194</v>
      </c>
      <c r="E59" s="82" t="n">
        <f aca="false">C59*D59</f>
        <v>60.7732218846667</v>
      </c>
    </row>
    <row r="60" s="146" customFormat="true" ht="30" hidden="false" customHeight="true" outlineLevel="0" collapsed="false">
      <c r="A60" s="131" t="s">
        <v>153</v>
      </c>
      <c r="B60" s="142" t="s">
        <v>203</v>
      </c>
      <c r="C60" s="165" t="n">
        <f aca="false">E$25+E$30</f>
        <v>3132.64030333333</v>
      </c>
      <c r="D60" s="166" t="n">
        <f aca="false">D41*D59</f>
        <v>0.0071392</v>
      </c>
      <c r="E60" s="82" t="n">
        <f aca="false">C60*D60</f>
        <v>22.3645456535573</v>
      </c>
    </row>
    <row r="61" s="146" customFormat="true" ht="32.25" hidden="false" customHeight="true" outlineLevel="0" collapsed="false">
      <c r="A61" s="131" t="s">
        <v>96</v>
      </c>
      <c r="B61" s="132" t="s">
        <v>204</v>
      </c>
      <c r="C61" s="165" t="n">
        <f aca="false">E$25+E$30</f>
        <v>3132.64030333333</v>
      </c>
      <c r="D61" s="134" t="n">
        <v>0.04</v>
      </c>
      <c r="E61" s="82" t="n">
        <f aca="false">C61*D61</f>
        <v>125.305612133333</v>
      </c>
    </row>
    <row r="62" s="146" customFormat="true" ht="15.75" hidden="false" customHeight="true" outlineLevel="0" collapsed="false">
      <c r="A62" s="124" t="s">
        <v>205</v>
      </c>
      <c r="B62" s="124"/>
      <c r="C62" s="124"/>
      <c r="D62" s="167" t="n">
        <f aca="false">SUM(D57:D61)</f>
        <v>0.0715392</v>
      </c>
      <c r="E62" s="125" t="n">
        <f aca="false">SUM(E57:E61)</f>
        <v>224.106581188224</v>
      </c>
    </row>
    <row r="63" s="146" customFormat="true" ht="15.75" hidden="false" customHeight="true" outlineLevel="0" collapsed="false">
      <c r="A63" s="114" t="s">
        <v>206</v>
      </c>
      <c r="B63" s="114"/>
      <c r="C63" s="114"/>
      <c r="D63" s="114"/>
      <c r="E63" s="114"/>
    </row>
    <row r="64" s="146" customFormat="true" ht="30" hidden="false" customHeight="true" outlineLevel="0" collapsed="false">
      <c r="A64" s="140" t="s">
        <v>207</v>
      </c>
      <c r="B64" s="168" t="s">
        <v>208</v>
      </c>
      <c r="C64" s="164" t="s">
        <v>165</v>
      </c>
      <c r="D64" s="169"/>
      <c r="E64" s="143" t="s">
        <v>139</v>
      </c>
    </row>
    <row r="65" s="146" customFormat="true" ht="15.75" hidden="false" customHeight="false" outlineLevel="0" collapsed="false">
      <c r="A65" s="131" t="s">
        <v>90</v>
      </c>
      <c r="B65" s="132" t="s">
        <v>209</v>
      </c>
      <c r="C65" s="170" t="n">
        <f aca="false">E$25+E$54+E$62+E85</f>
        <v>5175.95419098156</v>
      </c>
      <c r="D65" s="134" t="n">
        <f aca="false">D29/12</f>
        <v>0.00925833333333333</v>
      </c>
      <c r="E65" s="82" t="n">
        <f aca="false">C65*D65</f>
        <v>47.9207092181709</v>
      </c>
    </row>
    <row r="66" s="146" customFormat="true" ht="15.75" hidden="false" customHeight="false" outlineLevel="0" collapsed="false">
      <c r="A66" s="131" t="s">
        <v>94</v>
      </c>
      <c r="B66" s="132" t="s">
        <v>210</v>
      </c>
      <c r="C66" s="170" t="n">
        <f aca="false">E$25+E$54+E$62+E85</f>
        <v>5175.95419098156</v>
      </c>
      <c r="D66" s="134" t="n">
        <v>0.0139</v>
      </c>
      <c r="E66" s="82" t="n">
        <f aca="false">C66*D66</f>
        <v>71.9457632546437</v>
      </c>
    </row>
    <row r="67" s="146" customFormat="true" ht="15.75" hidden="false" customHeight="false" outlineLevel="0" collapsed="false">
      <c r="A67" s="131" t="s">
        <v>131</v>
      </c>
      <c r="B67" s="132" t="s">
        <v>211</v>
      </c>
      <c r="C67" s="170" t="n">
        <f aca="false">E$25+E$54+E$62+E85</f>
        <v>5175.95419098156</v>
      </c>
      <c r="D67" s="134" t="n">
        <v>0.0013</v>
      </c>
      <c r="E67" s="82" t="n">
        <f aca="false">C67*D67</f>
        <v>6.72874044827603</v>
      </c>
    </row>
    <row r="68" s="146" customFormat="true" ht="15.75" hidden="false" customHeight="false" outlineLevel="0" collapsed="false">
      <c r="A68" s="131" t="s">
        <v>153</v>
      </c>
      <c r="B68" s="132" t="s">
        <v>212</v>
      </c>
      <c r="C68" s="170" t="n">
        <f aca="false">E$25+E$54+E$62+E85</f>
        <v>5175.95419098156</v>
      </c>
      <c r="D68" s="134" t="n">
        <v>0.0002</v>
      </c>
      <c r="E68" s="82" t="n">
        <f aca="false">C68*D68</f>
        <v>1.03519083819631</v>
      </c>
    </row>
    <row r="69" s="146" customFormat="true" ht="15.75" hidden="false" customHeight="false" outlineLevel="0" collapsed="false">
      <c r="A69" s="131" t="s">
        <v>96</v>
      </c>
      <c r="B69" s="132" t="s">
        <v>213</v>
      </c>
      <c r="C69" s="170" t="n">
        <f aca="false">E$25+E$54+E$62+E85</f>
        <v>5175.95419098156</v>
      </c>
      <c r="D69" s="134" t="n">
        <v>0.0028</v>
      </c>
      <c r="E69" s="82" t="n">
        <f aca="false">C69*D69</f>
        <v>14.4926717347484</v>
      </c>
    </row>
    <row r="70" s="146" customFormat="true" ht="15.75" hidden="false" customHeight="false" outlineLevel="0" collapsed="false">
      <c r="A70" s="131" t="s">
        <v>158</v>
      </c>
      <c r="B70" s="132" t="s">
        <v>214</v>
      </c>
      <c r="C70" s="170" t="n">
        <f aca="false">E$25+E$54+E$62+E85</f>
        <v>5175.95419098156</v>
      </c>
      <c r="D70" s="134" t="n">
        <v>0.0003</v>
      </c>
      <c r="E70" s="82" t="n">
        <f aca="false">C70*D70</f>
        <v>1.55278625729447</v>
      </c>
    </row>
    <row r="71" s="146" customFormat="true" ht="15.75" hidden="false" customHeight="false" outlineLevel="0" collapsed="false">
      <c r="A71" s="131" t="s">
        <v>160</v>
      </c>
      <c r="B71" s="171" t="s">
        <v>215</v>
      </c>
      <c r="C71" s="170" t="n">
        <f aca="false">E$25+E$54+E$62+E85</f>
        <v>5175.95419098156</v>
      </c>
      <c r="D71" s="134" t="n">
        <v>0</v>
      </c>
      <c r="E71" s="82" t="n">
        <f aca="false">C71*D71</f>
        <v>0</v>
      </c>
    </row>
    <row r="72" s="146" customFormat="true" ht="15.75" hidden="false" customHeight="true" outlineLevel="0" collapsed="false">
      <c r="A72" s="136" t="s">
        <v>216</v>
      </c>
      <c r="B72" s="136"/>
      <c r="C72" s="136"/>
      <c r="D72" s="172" t="n">
        <f aca="false">SUM(D65:D71)</f>
        <v>0.0277583333333333</v>
      </c>
      <c r="E72" s="138" t="n">
        <f aca="false">SUM(E65:E71)</f>
        <v>143.67586175133</v>
      </c>
    </row>
    <row r="73" s="146" customFormat="true" ht="15.75" hidden="false" customHeight="true" outlineLevel="0" collapsed="false">
      <c r="A73" s="150" t="s">
        <v>217</v>
      </c>
      <c r="B73" s="150"/>
      <c r="C73" s="150"/>
      <c r="D73" s="150"/>
      <c r="E73" s="150"/>
    </row>
    <row r="74" s="146" customFormat="true" ht="15.75" hidden="false" customHeight="false" outlineLevel="0" collapsed="false">
      <c r="A74" s="140"/>
      <c r="B74" s="141" t="s">
        <v>217</v>
      </c>
      <c r="C74" s="142"/>
      <c r="D74" s="142"/>
      <c r="E74" s="143" t="s">
        <v>139</v>
      </c>
    </row>
    <row r="75" s="146" customFormat="true" ht="15.75" hidden="false" customHeight="true" outlineLevel="0" collapsed="false">
      <c r="A75" s="131" t="s">
        <v>90</v>
      </c>
      <c r="B75" s="132" t="s">
        <v>218</v>
      </c>
      <c r="C75" s="159"/>
      <c r="D75" s="134" t="n">
        <v>0</v>
      </c>
      <c r="E75" s="82" t="n">
        <f aca="false">(E$25+E$54+E$62+E85)*D75</f>
        <v>0</v>
      </c>
    </row>
    <row r="76" s="146" customFormat="true" ht="15.75" hidden="false" customHeight="true" outlineLevel="0" collapsed="false">
      <c r="A76" s="136" t="s">
        <v>219</v>
      </c>
      <c r="B76" s="136"/>
      <c r="C76" s="136"/>
      <c r="D76" s="137" t="n">
        <f aca="false">SUM(D75)</f>
        <v>0</v>
      </c>
      <c r="E76" s="138" t="n">
        <f aca="false">SUM(E75)</f>
        <v>0</v>
      </c>
    </row>
    <row r="77" s="146" customFormat="true" ht="15.75" hidden="false" customHeight="true" outlineLevel="0" collapsed="false">
      <c r="A77" s="173" t="s">
        <v>220</v>
      </c>
      <c r="B77" s="173"/>
      <c r="C77" s="173"/>
      <c r="D77" s="173"/>
      <c r="E77" s="173"/>
    </row>
    <row r="78" s="146" customFormat="true" ht="15.75" hidden="false" customHeight="true" outlineLevel="0" collapsed="false">
      <c r="A78" s="140" t="n">
        <v>4</v>
      </c>
      <c r="B78" s="174" t="s">
        <v>221</v>
      </c>
      <c r="C78" s="175"/>
      <c r="D78" s="176"/>
      <c r="E78" s="143" t="s">
        <v>139</v>
      </c>
    </row>
    <row r="79" s="146" customFormat="true" ht="15.75" hidden="false" customHeight="true" outlineLevel="0" collapsed="false">
      <c r="A79" s="131" t="s">
        <v>207</v>
      </c>
      <c r="B79" s="132" t="s">
        <v>208</v>
      </c>
      <c r="C79" s="175"/>
      <c r="D79" s="134" t="n">
        <f aca="false">D72</f>
        <v>0.0277583333333333</v>
      </c>
      <c r="E79" s="82" t="n">
        <f aca="false">E72</f>
        <v>143.67586175133</v>
      </c>
    </row>
    <row r="80" s="146" customFormat="true" ht="15.75" hidden="false" customHeight="true" outlineLevel="0" collapsed="false">
      <c r="A80" s="131" t="s">
        <v>222</v>
      </c>
      <c r="B80" s="132" t="s">
        <v>217</v>
      </c>
      <c r="C80" s="175"/>
      <c r="D80" s="134" t="n">
        <v>0</v>
      </c>
      <c r="E80" s="82" t="n">
        <f aca="false">(D$25+D$53+D$61)*D80</f>
        <v>0</v>
      </c>
    </row>
    <row r="81" s="146" customFormat="true" ht="15.75" hidden="false" customHeight="true" outlineLevel="0" collapsed="false">
      <c r="A81" s="136" t="s">
        <v>168</v>
      </c>
      <c r="B81" s="136"/>
      <c r="C81" s="136"/>
      <c r="D81" s="137" t="n">
        <f aca="false">SUM(D79:D80)</f>
        <v>0.0277583333333333</v>
      </c>
      <c r="E81" s="138" t="n">
        <f aca="false">SUM(E79:E80)</f>
        <v>143.67586175133</v>
      </c>
    </row>
    <row r="82" s="146" customFormat="true" ht="15.75" hidden="false" customHeight="true" outlineLevel="0" collapsed="false">
      <c r="A82" s="124" t="s">
        <v>223</v>
      </c>
      <c r="B82" s="124"/>
      <c r="C82" s="124"/>
      <c r="D82" s="124"/>
      <c r="E82" s="125" t="n">
        <f aca="false">SUM(E72+E76)</f>
        <v>143.67586175133</v>
      </c>
    </row>
    <row r="83" s="146" customFormat="true" ht="15.75" hidden="false" customHeight="true" outlineLevel="0" collapsed="false">
      <c r="A83" s="114" t="s">
        <v>224</v>
      </c>
      <c r="B83" s="114"/>
      <c r="C83" s="114"/>
      <c r="D83" s="114"/>
      <c r="E83" s="114"/>
    </row>
    <row r="84" s="146" customFormat="true" ht="15.75" hidden="false" customHeight="true" outlineLevel="0" collapsed="false">
      <c r="A84" s="140" t="n">
        <v>5</v>
      </c>
      <c r="B84" s="141" t="s">
        <v>225</v>
      </c>
      <c r="C84" s="142"/>
      <c r="D84" s="142"/>
      <c r="E84" s="143" t="s">
        <v>139</v>
      </c>
    </row>
    <row r="85" s="146" customFormat="true" ht="15.75" hidden="false" customHeight="true" outlineLevel="0" collapsed="false">
      <c r="A85" s="157" t="s">
        <v>90</v>
      </c>
      <c r="B85" s="123" t="s">
        <v>226</v>
      </c>
      <c r="C85" s="177"/>
      <c r="D85" s="178"/>
      <c r="E85" s="82" t="n">
        <f aca="false">'EPI''s e Uniformes'!H7</f>
        <v>36.5683333333333</v>
      </c>
    </row>
    <row r="86" s="146" customFormat="true" ht="15.75" hidden="false" customHeight="true" outlineLevel="0" collapsed="false">
      <c r="A86" s="157" t="s">
        <v>94</v>
      </c>
      <c r="B86" s="123" t="s">
        <v>227</v>
      </c>
      <c r="C86" s="177"/>
      <c r="D86" s="178"/>
      <c r="E86" s="82" t="n">
        <f aca="false">Materiais!H14</f>
        <v>859.832</v>
      </c>
    </row>
    <row r="87" s="146" customFormat="true" ht="15.75" hidden="false" customHeight="true" outlineLevel="0" collapsed="false">
      <c r="A87" s="157" t="s">
        <v>131</v>
      </c>
      <c r="B87" s="123" t="s">
        <v>228</v>
      </c>
      <c r="C87" s="177"/>
      <c r="D87" s="178"/>
      <c r="E87" s="82" t="n">
        <f aca="false">'Material Permanentes'!H23</f>
        <v>409.657222222222</v>
      </c>
    </row>
    <row r="88" s="146" customFormat="true" ht="15.75" hidden="false" customHeight="true" outlineLevel="0" collapsed="false">
      <c r="A88" s="157" t="s">
        <v>153</v>
      </c>
      <c r="B88" s="123" t="s">
        <v>229</v>
      </c>
      <c r="C88" s="177"/>
      <c r="D88" s="178"/>
      <c r="E88" s="82" t="n">
        <v>0</v>
      </c>
    </row>
    <row r="89" s="146" customFormat="true" ht="15.75" hidden="false" customHeight="true" outlineLevel="0" collapsed="false">
      <c r="A89" s="124" t="s">
        <v>230</v>
      </c>
      <c r="B89" s="124"/>
      <c r="C89" s="124"/>
      <c r="D89" s="124"/>
      <c r="E89" s="125" t="n">
        <f aca="false">SUM(E85:E88)</f>
        <v>1306.05755555556</v>
      </c>
    </row>
    <row r="90" s="146" customFormat="true" ht="23.25" hidden="false" customHeight="true" outlineLevel="0" collapsed="false">
      <c r="A90" s="126" t="s">
        <v>231</v>
      </c>
      <c r="B90" s="126"/>
      <c r="C90" s="126"/>
      <c r="D90" s="126"/>
      <c r="E90" s="179" t="n">
        <f aca="false">E89+E82+E62+E54+E25</f>
        <v>6589.11927495512</v>
      </c>
    </row>
    <row r="91" s="146" customFormat="true" ht="19.5" hidden="false" customHeight="true" outlineLevel="0" collapsed="false">
      <c r="A91" s="114" t="s">
        <v>232</v>
      </c>
      <c r="B91" s="114"/>
      <c r="C91" s="114"/>
      <c r="D91" s="114"/>
      <c r="E91" s="114"/>
    </row>
    <row r="92" s="146" customFormat="true" ht="30" hidden="false" customHeight="true" outlineLevel="0" collapsed="false">
      <c r="A92" s="140" t="n">
        <v>6</v>
      </c>
      <c r="B92" s="141" t="s">
        <v>233</v>
      </c>
      <c r="C92" s="63" t="s">
        <v>165</v>
      </c>
      <c r="D92" s="63"/>
      <c r="E92" s="143" t="s">
        <v>139</v>
      </c>
    </row>
    <row r="93" s="146" customFormat="true" ht="15.75" hidden="false" customHeight="false" outlineLevel="0" collapsed="false">
      <c r="A93" s="131" t="s">
        <v>90</v>
      </c>
      <c r="B93" s="132" t="s">
        <v>234</v>
      </c>
      <c r="C93" s="180" t="n">
        <f aca="false">E90</f>
        <v>6589.11927495512</v>
      </c>
      <c r="D93" s="134" t="n">
        <v>0.05</v>
      </c>
      <c r="E93" s="82" t="n">
        <f aca="false">+C93*D93</f>
        <v>329.455963747756</v>
      </c>
    </row>
    <row r="94" s="146" customFormat="true" ht="15.75" hidden="false" customHeight="false" outlineLevel="0" collapsed="false">
      <c r="A94" s="131" t="s">
        <v>94</v>
      </c>
      <c r="B94" s="132" t="s">
        <v>235</v>
      </c>
      <c r="C94" s="180" t="n">
        <f aca="false">E90+E93</f>
        <v>6918.57523870287</v>
      </c>
      <c r="D94" s="134" t="n">
        <v>0.1</v>
      </c>
      <c r="E94" s="82" t="n">
        <f aca="false">D94*(C94)</f>
        <v>691.857523870287</v>
      </c>
    </row>
    <row r="95" s="146" customFormat="true" ht="30.75" hidden="false" customHeight="true" outlineLevel="0" collapsed="false">
      <c r="A95" s="131"/>
      <c r="B95" s="132" t="s">
        <v>236</v>
      </c>
      <c r="C95" s="132"/>
      <c r="D95" s="134" t="n">
        <f aca="false">1-D102</f>
        <v>0.8575</v>
      </c>
      <c r="E95" s="82" t="n">
        <f aca="false">+E90+E93+E94</f>
        <v>7610.43276257316</v>
      </c>
    </row>
    <row r="96" s="146" customFormat="true" ht="15.75" hidden="false" customHeight="false" outlineLevel="0" collapsed="false">
      <c r="A96" s="131"/>
      <c r="B96" s="171"/>
      <c r="C96" s="181"/>
      <c r="D96" s="66"/>
      <c r="E96" s="182" t="n">
        <f aca="false">+E95/D95</f>
        <v>8875.14024789873</v>
      </c>
    </row>
    <row r="97" s="146" customFormat="true" ht="15.75" hidden="false" customHeight="false" outlineLevel="0" collapsed="false">
      <c r="A97" s="131" t="s">
        <v>131</v>
      </c>
      <c r="B97" s="171" t="s">
        <v>237</v>
      </c>
      <c r="C97" s="181"/>
      <c r="D97" s="183" t="n">
        <f aca="false">D99+D100+D101</f>
        <v>0.1425</v>
      </c>
      <c r="E97" s="182"/>
    </row>
    <row r="98" s="146" customFormat="true" ht="15.75" hidden="false" customHeight="false" outlineLevel="0" collapsed="false">
      <c r="A98" s="131" t="s">
        <v>238</v>
      </c>
      <c r="B98" s="171" t="s">
        <v>239</v>
      </c>
      <c r="C98" s="171"/>
      <c r="D98" s="183" t="n">
        <f aca="false">D99+D100</f>
        <v>0.0925</v>
      </c>
      <c r="E98" s="82"/>
    </row>
    <row r="99" s="146" customFormat="true" ht="15.75" hidden="false" customHeight="false" outlineLevel="0" collapsed="false">
      <c r="A99" s="131" t="s">
        <v>240</v>
      </c>
      <c r="B99" s="132" t="s">
        <v>241</v>
      </c>
      <c r="C99" s="81" t="n">
        <f aca="false">E96</f>
        <v>8875.14024789873</v>
      </c>
      <c r="D99" s="134" t="n">
        <v>0.0165</v>
      </c>
      <c r="E99" s="82" t="n">
        <f aca="false">C99*D99</f>
        <v>146.439814090329</v>
      </c>
    </row>
    <row r="100" s="146" customFormat="true" ht="15.75" hidden="false" customHeight="false" outlineLevel="0" collapsed="false">
      <c r="A100" s="131" t="s">
        <v>242</v>
      </c>
      <c r="B100" s="132" t="s">
        <v>243</v>
      </c>
      <c r="C100" s="81" t="n">
        <f aca="false">E96</f>
        <v>8875.14024789873</v>
      </c>
      <c r="D100" s="134" t="n">
        <v>0.076</v>
      </c>
      <c r="E100" s="82" t="n">
        <f aca="false">C100*D100</f>
        <v>674.510658840303</v>
      </c>
    </row>
    <row r="101" s="146" customFormat="true" ht="15.75" hidden="false" customHeight="false" outlineLevel="0" collapsed="false">
      <c r="A101" s="131" t="s">
        <v>244</v>
      </c>
      <c r="B101" s="132" t="s">
        <v>245</v>
      </c>
      <c r="C101" s="81" t="n">
        <f aca="false">E96</f>
        <v>8875.14024789873</v>
      </c>
      <c r="D101" s="134" t="n">
        <v>0.05</v>
      </c>
      <c r="E101" s="82" t="n">
        <f aca="false">C101*D101</f>
        <v>443.757012394937</v>
      </c>
    </row>
    <row r="102" s="146" customFormat="true" ht="15.75" hidden="false" customHeight="false" outlineLevel="0" collapsed="false">
      <c r="A102" s="140"/>
      <c r="B102" s="184" t="s">
        <v>246</v>
      </c>
      <c r="C102" s="184"/>
      <c r="D102" s="185" t="n">
        <f aca="false">D97</f>
        <v>0.1425</v>
      </c>
      <c r="E102" s="82" t="n">
        <f aca="false">SUM(E99:E101)</f>
        <v>1264.70748532557</v>
      </c>
    </row>
    <row r="103" s="146" customFormat="true" ht="15.75" hidden="false" customHeight="true" outlineLevel="0" collapsed="false">
      <c r="A103" s="136" t="s">
        <v>247</v>
      </c>
      <c r="B103" s="136"/>
      <c r="C103" s="136"/>
      <c r="D103" s="136"/>
      <c r="E103" s="138" t="n">
        <f aca="false">+E93+E94+E102</f>
        <v>2286.02097294361</v>
      </c>
    </row>
    <row r="104" s="146" customFormat="true" ht="15.75" hidden="false" customHeight="true" outlineLevel="0" collapsed="false">
      <c r="A104" s="186" t="s">
        <v>248</v>
      </c>
      <c r="B104" s="186"/>
      <c r="C104" s="186"/>
      <c r="D104" s="186"/>
      <c r="E104" s="187" t="s">
        <v>139</v>
      </c>
    </row>
    <row r="105" s="146" customFormat="true" ht="15.75" hidden="false" customHeight="true" outlineLevel="0" collapsed="false">
      <c r="A105" s="131" t="s">
        <v>90</v>
      </c>
      <c r="B105" s="171" t="s">
        <v>249</v>
      </c>
      <c r="C105" s="171"/>
      <c r="D105" s="171"/>
      <c r="E105" s="82" t="n">
        <f aca="false">+E25</f>
        <v>2622.7</v>
      </c>
    </row>
    <row r="106" customFormat="false" ht="15.75" hidden="false" customHeight="true" outlineLevel="0" collapsed="false">
      <c r="A106" s="131" t="s">
        <v>94</v>
      </c>
      <c r="B106" s="171" t="s">
        <v>250</v>
      </c>
      <c r="C106" s="171"/>
      <c r="D106" s="171"/>
      <c r="E106" s="82" t="n">
        <f aca="false">+E54</f>
        <v>2292.57927646</v>
      </c>
    </row>
    <row r="107" customFormat="false" ht="15.75" hidden="false" customHeight="true" outlineLevel="0" collapsed="false">
      <c r="A107" s="131" t="s">
        <v>131</v>
      </c>
      <c r="B107" s="171" t="s">
        <v>251</v>
      </c>
      <c r="C107" s="171"/>
      <c r="D107" s="171"/>
      <c r="E107" s="82" t="n">
        <f aca="false">E62</f>
        <v>224.106581188224</v>
      </c>
    </row>
    <row r="108" customFormat="false" ht="15.75" hidden="false" customHeight="true" outlineLevel="0" collapsed="false">
      <c r="A108" s="131" t="s">
        <v>153</v>
      </c>
      <c r="B108" s="171" t="s">
        <v>252</v>
      </c>
      <c r="C108" s="171"/>
      <c r="D108" s="171"/>
      <c r="E108" s="82" t="n">
        <f aca="false">E82</f>
        <v>143.67586175133</v>
      </c>
    </row>
    <row r="109" customFormat="false" ht="15.75" hidden="false" customHeight="true" outlineLevel="0" collapsed="false">
      <c r="A109" s="131" t="s">
        <v>96</v>
      </c>
      <c r="B109" s="171" t="s">
        <v>253</v>
      </c>
      <c r="C109" s="171"/>
      <c r="D109" s="171"/>
      <c r="E109" s="82" t="n">
        <f aca="false">E89</f>
        <v>1306.05755555556</v>
      </c>
    </row>
    <row r="110" customFormat="false" ht="15.75" hidden="false" customHeight="true" outlineLevel="0" collapsed="false">
      <c r="A110" s="140" t="s">
        <v>254</v>
      </c>
      <c r="B110" s="140"/>
      <c r="C110" s="140"/>
      <c r="D110" s="140"/>
      <c r="E110" s="188" t="n">
        <f aca="false">SUM(E105:E109)</f>
        <v>6589.11927495512</v>
      </c>
    </row>
    <row r="111" customFormat="false" ht="15.75" hidden="false" customHeight="true" outlineLevel="0" collapsed="false">
      <c r="A111" s="131" t="s">
        <v>158</v>
      </c>
      <c r="B111" s="171" t="s">
        <v>255</v>
      </c>
      <c r="C111" s="171"/>
      <c r="D111" s="171"/>
      <c r="E111" s="82" t="n">
        <f aca="false">+E103</f>
        <v>2286.02097294361</v>
      </c>
    </row>
    <row r="112" customFormat="false" ht="16.5" hidden="false" customHeight="true" outlineLevel="0" collapsed="false">
      <c r="A112" s="189" t="s">
        <v>256</v>
      </c>
      <c r="B112" s="189"/>
      <c r="C112" s="189"/>
      <c r="D112" s="189"/>
      <c r="E112" s="190" t="n">
        <f aca="false">+E110+E111</f>
        <v>8875.14024789873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2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15" zoomScalePageLayoutView="100" workbookViewId="0">
      <selection pane="topLeft" activeCell="E48" activeCellId="0" sqref="E4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3" width="8.71"/>
    <col collapsed="false" customWidth="true" hidden="false" outlineLevel="0" max="2" min="2" style="94" width="70.71"/>
    <col collapsed="false" customWidth="true" hidden="false" outlineLevel="0" max="3" min="3" style="94" width="12.71"/>
    <col collapsed="false" customWidth="true" hidden="false" outlineLevel="0" max="4" min="4" style="95" width="8.71"/>
    <col collapsed="false" customWidth="true" hidden="false" outlineLevel="0" max="5" min="5" style="96" width="12.71"/>
    <col collapsed="false" customWidth="false" hidden="false" outlineLevel="0" max="16384" min="6" style="97" width="9.14"/>
  </cols>
  <sheetData>
    <row r="1" s="99" customFormat="true" ht="15.75" hidden="false" customHeight="false" outlineLevel="0" collapsed="false">
      <c r="A1" s="98"/>
      <c r="B1" s="98"/>
      <c r="C1" s="98"/>
      <c r="D1" s="98"/>
      <c r="E1" s="98"/>
    </row>
    <row r="2" s="99" customFormat="true" ht="16.5" hidden="false" customHeight="true" outlineLevel="0" collapsed="false">
      <c r="A2" s="100"/>
      <c r="B2" s="100"/>
      <c r="C2" s="100"/>
      <c r="D2" s="100"/>
      <c r="E2" s="100"/>
    </row>
    <row r="3" s="99" customFormat="true" ht="15.75" hidden="false" customHeight="false" outlineLevel="0" collapsed="false">
      <c r="A3" s="101" t="s">
        <v>127</v>
      </c>
      <c r="B3" s="101"/>
      <c r="C3" s="101"/>
      <c r="D3" s="101"/>
      <c r="E3" s="101"/>
    </row>
    <row r="4" s="99" customFormat="true" ht="15" hidden="false" customHeight="true" outlineLevel="0" collapsed="false">
      <c r="A4" s="102" t="s">
        <v>90</v>
      </c>
      <c r="B4" s="103" t="s">
        <v>128</v>
      </c>
      <c r="C4" s="104" t="n">
        <v>2025</v>
      </c>
      <c r="D4" s="104"/>
      <c r="E4" s="104"/>
    </row>
    <row r="5" s="99" customFormat="true" ht="75" hidden="false" customHeight="true" outlineLevel="0" collapsed="false">
      <c r="A5" s="102" t="s">
        <v>94</v>
      </c>
      <c r="B5" s="103" t="s">
        <v>129</v>
      </c>
      <c r="C5" s="105" t="s">
        <v>130</v>
      </c>
      <c r="D5" s="105"/>
      <c r="E5" s="105"/>
    </row>
    <row r="6" s="99" customFormat="true" ht="15.75" hidden="false" customHeight="true" outlineLevel="0" collapsed="false">
      <c r="A6" s="102" t="s">
        <v>131</v>
      </c>
      <c r="B6" s="103" t="s">
        <v>132</v>
      </c>
      <c r="C6" s="105" t="s">
        <v>133</v>
      </c>
      <c r="D6" s="105"/>
      <c r="E6" s="105"/>
    </row>
    <row r="7" s="99" customFormat="true" ht="15.75" hidden="false" customHeight="false" outlineLevel="0" collapsed="false">
      <c r="A7" s="102"/>
      <c r="B7" s="103" t="s">
        <v>134</v>
      </c>
      <c r="C7" s="105" t="n">
        <v>12</v>
      </c>
      <c r="D7" s="105"/>
      <c r="E7" s="105"/>
    </row>
    <row r="8" s="99" customFormat="true" ht="15.75" hidden="false" customHeight="false" outlineLevel="0" collapsed="false">
      <c r="A8" s="101" t="s">
        <v>135</v>
      </c>
      <c r="B8" s="101"/>
      <c r="C8" s="101"/>
      <c r="D8" s="101"/>
      <c r="E8" s="101"/>
    </row>
    <row r="9" s="99" customFormat="true" ht="15.75" hidden="false" customHeight="false" outlineLevel="0" collapsed="false">
      <c r="A9" s="101" t="s">
        <v>136</v>
      </c>
      <c r="B9" s="101"/>
      <c r="C9" s="101"/>
      <c r="D9" s="101"/>
      <c r="E9" s="101"/>
    </row>
    <row r="10" s="99" customFormat="true" ht="15.75" hidden="false" customHeight="true" outlineLevel="0" collapsed="false">
      <c r="A10" s="101" t="s">
        <v>137</v>
      </c>
      <c r="B10" s="101"/>
      <c r="C10" s="101"/>
      <c r="D10" s="101"/>
      <c r="E10" s="101"/>
    </row>
    <row r="11" s="99" customFormat="true" ht="30" hidden="false" customHeight="true" outlineLevel="0" collapsed="false">
      <c r="A11" s="106" t="s">
        <v>138</v>
      </c>
      <c r="B11" s="106"/>
      <c r="C11" s="106"/>
      <c r="D11" s="106"/>
      <c r="E11" s="107" t="s">
        <v>139</v>
      </c>
    </row>
    <row r="12" s="99" customFormat="true" ht="75" hidden="false" customHeight="true" outlineLevel="0" collapsed="false">
      <c r="A12" s="102" t="n">
        <v>1</v>
      </c>
      <c r="B12" s="108" t="s">
        <v>140</v>
      </c>
      <c r="C12" s="109" t="s">
        <v>141</v>
      </c>
      <c r="D12" s="109"/>
      <c r="E12" s="109"/>
    </row>
    <row r="13" s="99" customFormat="true" ht="30" hidden="false" customHeight="true" outlineLevel="0" collapsed="false">
      <c r="A13" s="102" t="n">
        <v>2</v>
      </c>
      <c r="B13" s="108" t="s">
        <v>142</v>
      </c>
      <c r="C13" s="110" t="n">
        <v>1974.3</v>
      </c>
      <c r="D13" s="110"/>
      <c r="E13" s="110"/>
    </row>
    <row r="14" s="111" customFormat="true" ht="30" hidden="false" customHeight="true" outlineLevel="0" collapsed="false">
      <c r="A14" s="102" t="n">
        <v>3</v>
      </c>
      <c r="B14" s="108" t="s">
        <v>143</v>
      </c>
      <c r="C14" s="109" t="s">
        <v>257</v>
      </c>
      <c r="D14" s="109"/>
      <c r="E14" s="109"/>
    </row>
    <row r="15" s="111" customFormat="true" ht="15.75" hidden="false" customHeight="false" outlineLevel="0" collapsed="false">
      <c r="A15" s="102" t="n">
        <v>4</v>
      </c>
      <c r="B15" s="112" t="s">
        <v>145</v>
      </c>
      <c r="C15" s="113" t="n">
        <v>45673</v>
      </c>
      <c r="D15" s="113"/>
      <c r="E15" s="113"/>
    </row>
    <row r="16" s="99" customFormat="true" ht="15.75" hidden="false" customHeight="false" outlineLevel="0" collapsed="false">
      <c r="A16" s="114" t="s">
        <v>146</v>
      </c>
      <c r="B16" s="114"/>
      <c r="C16" s="114"/>
      <c r="D16" s="114"/>
      <c r="E16" s="114"/>
    </row>
    <row r="17" s="99" customFormat="true" ht="15.75" hidden="false" customHeight="true" outlineLevel="0" collapsed="false">
      <c r="A17" s="106" t="n">
        <v>1</v>
      </c>
      <c r="B17" s="115" t="s">
        <v>147</v>
      </c>
      <c r="C17" s="115"/>
      <c r="D17" s="115"/>
      <c r="E17" s="116" t="s">
        <v>139</v>
      </c>
    </row>
    <row r="18" s="99" customFormat="true" ht="15.75" hidden="false" customHeight="true" outlineLevel="0" collapsed="false">
      <c r="A18" s="117" t="s">
        <v>90</v>
      </c>
      <c r="B18" s="118" t="s">
        <v>148</v>
      </c>
      <c r="C18" s="112"/>
      <c r="D18" s="112"/>
      <c r="E18" s="119" t="n">
        <f aca="false">C13</f>
        <v>1974.3</v>
      </c>
    </row>
    <row r="19" s="111" customFormat="true" ht="15.75" hidden="false" customHeight="true" outlineLevel="0" collapsed="false">
      <c r="A19" s="117" t="s">
        <v>94</v>
      </c>
      <c r="B19" s="118" t="s">
        <v>149</v>
      </c>
      <c r="C19" s="191" t="s">
        <v>150</v>
      </c>
      <c r="D19" s="191"/>
      <c r="E19" s="82"/>
    </row>
    <row r="20" s="111" customFormat="true" ht="15.75" hidden="false" customHeight="true" outlineLevel="0" collapsed="false">
      <c r="A20" s="117" t="s">
        <v>131</v>
      </c>
      <c r="B20" s="118" t="s">
        <v>151</v>
      </c>
      <c r="C20" s="121" t="s">
        <v>152</v>
      </c>
      <c r="D20" s="121"/>
      <c r="E20" s="82" t="n">
        <f aca="false">40%*1621</f>
        <v>648.4</v>
      </c>
    </row>
    <row r="21" s="99" customFormat="true" ht="15.75" hidden="false" customHeight="true" outlineLevel="0" collapsed="false">
      <c r="A21" s="117" t="s">
        <v>153</v>
      </c>
      <c r="B21" s="118" t="s">
        <v>154</v>
      </c>
      <c r="C21" s="120" t="s">
        <v>155</v>
      </c>
      <c r="D21" s="120"/>
      <c r="E21" s="119" t="n">
        <f aca="false">((((E18+E20)/220)*20%)*8)*15.21</f>
        <v>290.118305454545</v>
      </c>
    </row>
    <row r="22" s="99" customFormat="true" ht="15.75" hidden="false" customHeight="true" outlineLevel="0" collapsed="false">
      <c r="A22" s="117" t="s">
        <v>96</v>
      </c>
      <c r="B22" s="118" t="s">
        <v>156</v>
      </c>
      <c r="C22" s="120" t="s">
        <v>157</v>
      </c>
      <c r="D22" s="120"/>
      <c r="E22" s="119"/>
    </row>
    <row r="23" s="99" customFormat="true" ht="15.75" hidden="false" customHeight="false" outlineLevel="0" collapsed="false">
      <c r="A23" s="117" t="s">
        <v>158</v>
      </c>
      <c r="B23" s="118" t="s">
        <v>159</v>
      </c>
      <c r="C23" s="122"/>
      <c r="D23" s="122"/>
      <c r="E23" s="119"/>
    </row>
    <row r="24" customFormat="false" ht="15.75" hidden="false" customHeight="true" outlineLevel="0" collapsed="false">
      <c r="A24" s="117" t="s">
        <v>160</v>
      </c>
      <c r="B24" s="123" t="s">
        <v>161</v>
      </c>
      <c r="C24" s="122"/>
      <c r="D24" s="122"/>
      <c r="E24" s="119"/>
    </row>
    <row r="25" customFormat="false" ht="15.75" hidden="false" customHeight="true" outlineLevel="0" collapsed="false">
      <c r="A25" s="124" t="s">
        <v>162</v>
      </c>
      <c r="B25" s="124"/>
      <c r="C25" s="124"/>
      <c r="D25" s="124"/>
      <c r="E25" s="125" t="n">
        <f aca="false">SUM(E18:E24)</f>
        <v>2912.81830545455</v>
      </c>
    </row>
    <row r="26" customFormat="false" ht="15.75" hidden="false" customHeight="false" outlineLevel="0" collapsed="false">
      <c r="A26" s="114" t="s">
        <v>163</v>
      </c>
      <c r="B26" s="114"/>
      <c r="C26" s="114"/>
      <c r="D26" s="114"/>
      <c r="E26" s="114"/>
    </row>
    <row r="27" customFormat="false" ht="30" hidden="false" customHeight="true" outlineLevel="0" collapsed="false">
      <c r="A27" s="126" t="n">
        <v>2</v>
      </c>
      <c r="B27" s="127" t="s">
        <v>164</v>
      </c>
      <c r="C27" s="128" t="s">
        <v>165</v>
      </c>
      <c r="D27" s="129"/>
      <c r="E27" s="130" t="s">
        <v>139</v>
      </c>
    </row>
    <row r="28" customFormat="false" ht="15.75" hidden="false" customHeight="false" outlineLevel="0" collapsed="false">
      <c r="A28" s="131" t="s">
        <v>90</v>
      </c>
      <c r="B28" s="132" t="s">
        <v>166</v>
      </c>
      <c r="C28" s="133" t="n">
        <f aca="false">E25</f>
        <v>2912.81830545455</v>
      </c>
      <c r="D28" s="134" t="n">
        <f aca="false">1/12</f>
        <v>0.0833333333333333</v>
      </c>
      <c r="E28" s="82" t="n">
        <f aca="false">(E25)*D28</f>
        <v>242.734858787879</v>
      </c>
    </row>
    <row r="29" customFormat="false" ht="15.75" hidden="false" customHeight="false" outlineLevel="0" collapsed="false">
      <c r="A29" s="131" t="s">
        <v>94</v>
      </c>
      <c r="B29" s="135" t="s">
        <v>167</v>
      </c>
      <c r="C29" s="133" t="n">
        <f aca="false">E25</f>
        <v>2912.81830545455</v>
      </c>
      <c r="D29" s="134" t="n">
        <v>0.1111</v>
      </c>
      <c r="E29" s="82" t="n">
        <f aca="false">(E25)*D29</f>
        <v>323.614113736</v>
      </c>
    </row>
    <row r="30" customFormat="false" ht="15.75" hidden="false" customHeight="true" outlineLevel="0" collapsed="false">
      <c r="A30" s="136" t="s">
        <v>168</v>
      </c>
      <c r="B30" s="136"/>
      <c r="C30" s="136"/>
      <c r="D30" s="137" t="n">
        <f aca="false">SUM(D28:D29)</f>
        <v>0.194433333333333</v>
      </c>
      <c r="E30" s="138" t="n">
        <f aca="false">SUM(E28:E29)</f>
        <v>566.348972523879</v>
      </c>
    </row>
    <row r="31" customFormat="false" ht="30" hidden="false" customHeight="true" outlineLevel="0" collapsed="false">
      <c r="A31" s="139" t="s">
        <v>169</v>
      </c>
      <c r="B31" s="139"/>
      <c r="C31" s="139"/>
      <c r="D31" s="139"/>
      <c r="E31" s="139"/>
    </row>
    <row r="32" customFormat="false" ht="30" hidden="false" customHeight="true" outlineLevel="0" collapsed="false">
      <c r="A32" s="140" t="s">
        <v>170</v>
      </c>
      <c r="B32" s="141" t="s">
        <v>171</v>
      </c>
      <c r="C32" s="63" t="s">
        <v>165</v>
      </c>
      <c r="D32" s="142"/>
      <c r="E32" s="143" t="s">
        <v>139</v>
      </c>
    </row>
    <row r="33" customFormat="false" ht="15" hidden="false" customHeight="true" outlineLevel="0" collapsed="false">
      <c r="A33" s="131" t="s">
        <v>90</v>
      </c>
      <c r="B33" s="144" t="s">
        <v>172</v>
      </c>
      <c r="C33" s="133" t="n">
        <f aca="false">E$25+E$30</f>
        <v>3479.16727797842</v>
      </c>
      <c r="D33" s="134" t="n">
        <v>0.2</v>
      </c>
      <c r="E33" s="82" t="n">
        <f aca="false">C33*D33</f>
        <v>695.833455595685</v>
      </c>
    </row>
    <row r="34" s="146" customFormat="true" ht="15.75" hidden="false" customHeight="false" outlineLevel="0" collapsed="false">
      <c r="A34" s="131" t="s">
        <v>94</v>
      </c>
      <c r="B34" s="144" t="s">
        <v>173</v>
      </c>
      <c r="C34" s="133" t="n">
        <f aca="false">E$25+E$30</f>
        <v>3479.16727797842</v>
      </c>
      <c r="D34" s="145" t="n">
        <v>0.025</v>
      </c>
      <c r="E34" s="82" t="n">
        <f aca="false">C34*D34</f>
        <v>86.9791819494606</v>
      </c>
    </row>
    <row r="35" s="146" customFormat="true" ht="35.05" hidden="false" customHeight="false" outlineLevel="0" collapsed="false">
      <c r="A35" s="131" t="s">
        <v>131</v>
      </c>
      <c r="B35" s="147" t="s">
        <v>174</v>
      </c>
      <c r="C35" s="133" t="n">
        <f aca="false">E$25+E$30</f>
        <v>3479.16727797842</v>
      </c>
      <c r="D35" s="145" t="n">
        <v>0.03</v>
      </c>
      <c r="E35" s="82" t="n">
        <f aca="false">C35*D35</f>
        <v>104.375018339353</v>
      </c>
    </row>
    <row r="36" s="146" customFormat="true" ht="15.75" hidden="false" customHeight="false" outlineLevel="0" collapsed="false">
      <c r="A36" s="131" t="s">
        <v>153</v>
      </c>
      <c r="B36" s="144" t="s">
        <v>175</v>
      </c>
      <c r="C36" s="133" t="n">
        <f aca="false">E$25+E$30</f>
        <v>3479.16727797842</v>
      </c>
      <c r="D36" s="145" t="n">
        <v>0.015</v>
      </c>
      <c r="E36" s="82" t="n">
        <f aca="false">C36*D36</f>
        <v>52.1875091696764</v>
      </c>
    </row>
    <row r="37" s="146" customFormat="true" ht="15.75" hidden="false" customHeight="false" outlineLevel="0" collapsed="false">
      <c r="A37" s="131" t="s">
        <v>96</v>
      </c>
      <c r="B37" s="144" t="s">
        <v>176</v>
      </c>
      <c r="C37" s="133" t="n">
        <f aca="false">E$25+E$30</f>
        <v>3479.16727797842</v>
      </c>
      <c r="D37" s="145" t="n">
        <v>0.01</v>
      </c>
      <c r="E37" s="82" t="n">
        <f aca="false">C37*D37</f>
        <v>34.7916727797842</v>
      </c>
    </row>
    <row r="38" s="146" customFormat="true" ht="15.75" hidden="false" customHeight="false" outlineLevel="0" collapsed="false">
      <c r="A38" s="131" t="s">
        <v>158</v>
      </c>
      <c r="B38" s="148" t="s">
        <v>177</v>
      </c>
      <c r="C38" s="133" t="n">
        <f aca="false">E$25+E$30</f>
        <v>3479.16727797842</v>
      </c>
      <c r="D38" s="145" t="n">
        <v>0.006</v>
      </c>
      <c r="E38" s="82" t="n">
        <f aca="false">C38*D38</f>
        <v>20.8750036678705</v>
      </c>
    </row>
    <row r="39" s="146" customFormat="true" ht="23.85" hidden="false" customHeight="false" outlineLevel="0" collapsed="false">
      <c r="A39" s="131" t="s">
        <v>160</v>
      </c>
      <c r="B39" s="147" t="s">
        <v>178</v>
      </c>
      <c r="C39" s="133" t="n">
        <f aca="false">E$25+E$30</f>
        <v>3479.16727797842</v>
      </c>
      <c r="D39" s="145" t="n">
        <v>0.002</v>
      </c>
      <c r="E39" s="82" t="n">
        <f aca="false">C39*D39</f>
        <v>6.95833455595685</v>
      </c>
    </row>
    <row r="40" s="146" customFormat="true" ht="15.75" hidden="false" customHeight="false" outlineLevel="0" collapsed="false">
      <c r="A40" s="131" t="s">
        <v>179</v>
      </c>
      <c r="B40" s="144" t="s">
        <v>180</v>
      </c>
      <c r="C40" s="133" t="n">
        <f aca="false">E$25+E$30</f>
        <v>3479.16727797842</v>
      </c>
      <c r="D40" s="145" t="n">
        <v>0.08</v>
      </c>
      <c r="E40" s="82" t="n">
        <f aca="false">C40*D40</f>
        <v>278.333382238274</v>
      </c>
    </row>
    <row r="41" s="146" customFormat="true" ht="15.75" hidden="false" customHeight="true" outlineLevel="0" collapsed="false">
      <c r="A41" s="136" t="s">
        <v>168</v>
      </c>
      <c r="B41" s="136"/>
      <c r="C41" s="136"/>
      <c r="D41" s="149" t="n">
        <f aca="false">SUM(D33:D40)</f>
        <v>0.368</v>
      </c>
      <c r="E41" s="138" t="n">
        <f aca="false">SUM(E33:E40)</f>
        <v>1280.33355829606</v>
      </c>
    </row>
    <row r="42" s="146" customFormat="true" ht="15.75" hidden="false" customHeight="false" outlineLevel="0" collapsed="false">
      <c r="A42" s="150" t="s">
        <v>181</v>
      </c>
      <c r="B42" s="150"/>
      <c r="C42" s="150"/>
      <c r="D42" s="150"/>
      <c r="E42" s="150"/>
    </row>
    <row r="43" s="146" customFormat="true" ht="30" hidden="false" customHeight="true" outlineLevel="0" collapsed="false">
      <c r="A43" s="151" t="s">
        <v>182</v>
      </c>
      <c r="B43" s="152" t="s">
        <v>183</v>
      </c>
      <c r="C43" s="128" t="s">
        <v>165</v>
      </c>
      <c r="D43" s="129"/>
      <c r="E43" s="130" t="s">
        <v>139</v>
      </c>
    </row>
    <row r="44" s="146" customFormat="true" ht="15.75" hidden="false" customHeight="false" outlineLevel="0" collapsed="false">
      <c r="A44" s="153" t="s">
        <v>90</v>
      </c>
      <c r="B44" s="154" t="s">
        <v>184</v>
      </c>
      <c r="C44" s="155" t="n">
        <v>0</v>
      </c>
      <c r="D44" s="154"/>
      <c r="E44" s="156" t="n">
        <v>0</v>
      </c>
    </row>
    <row r="45" s="146" customFormat="true" ht="15.75" hidden="false" customHeight="false" outlineLevel="0" collapsed="false">
      <c r="A45" s="157" t="s">
        <v>94</v>
      </c>
      <c r="B45" s="123" t="s">
        <v>185</v>
      </c>
      <c r="C45" s="158" t="n">
        <v>626.94</v>
      </c>
      <c r="D45" s="122"/>
      <c r="E45" s="119" t="n">
        <f aca="false">C45-(C45*0.99%)</f>
        <v>620.733294</v>
      </c>
    </row>
    <row r="46" s="146" customFormat="true" ht="15.75" hidden="false" customHeight="false" outlineLevel="0" collapsed="false">
      <c r="A46" s="131" t="s">
        <v>131</v>
      </c>
      <c r="B46" s="132" t="s">
        <v>186</v>
      </c>
      <c r="C46" s="159"/>
      <c r="D46" s="160"/>
      <c r="E46" s="82" t="n">
        <v>0</v>
      </c>
    </row>
    <row r="47" s="146" customFormat="true" ht="23.85" hidden="false" customHeight="false" outlineLevel="0" collapsed="false">
      <c r="A47" s="131" t="s">
        <v>153</v>
      </c>
      <c r="B47" s="132" t="s">
        <v>187</v>
      </c>
      <c r="C47" s="159" t="s">
        <v>188</v>
      </c>
      <c r="D47" s="160"/>
      <c r="E47" s="82" t="n">
        <f aca="false">C13*50%*0.0199*2/12</f>
        <v>3.2740475</v>
      </c>
    </row>
    <row r="48" s="146" customFormat="true" ht="15.75" hidden="false" customHeight="false" outlineLevel="0" collapsed="false">
      <c r="A48" s="131" t="s">
        <v>96</v>
      </c>
      <c r="B48" s="132" t="s">
        <v>189</v>
      </c>
      <c r="C48" s="66"/>
      <c r="D48" s="160"/>
      <c r="E48" s="82" t="n">
        <v>5.82</v>
      </c>
    </row>
    <row r="49" s="146" customFormat="true" ht="15.75" hidden="false" customHeight="true" outlineLevel="0" collapsed="false">
      <c r="A49" s="136" t="s">
        <v>190</v>
      </c>
      <c r="B49" s="136"/>
      <c r="C49" s="136"/>
      <c r="D49" s="136"/>
      <c r="E49" s="138" t="n">
        <f aca="false">SUM(E44:E48)</f>
        <v>629.8273415</v>
      </c>
    </row>
    <row r="50" s="146" customFormat="true" ht="15.75" hidden="false" customHeight="true" outlineLevel="0" collapsed="false">
      <c r="A50" s="150" t="s">
        <v>191</v>
      </c>
      <c r="B50" s="150"/>
      <c r="C50" s="150"/>
      <c r="D50" s="150"/>
      <c r="E50" s="150"/>
    </row>
    <row r="51" s="146" customFormat="true" ht="15.75" hidden="false" customHeight="true" outlineLevel="0" collapsed="false">
      <c r="A51" s="106" t="s">
        <v>170</v>
      </c>
      <c r="B51" s="161" t="s">
        <v>192</v>
      </c>
      <c r="C51" s="162"/>
      <c r="D51" s="162"/>
      <c r="E51" s="163" t="n">
        <f aca="false">E30</f>
        <v>566.348972523879</v>
      </c>
    </row>
    <row r="52" s="146" customFormat="true" ht="15.75" hidden="false" customHeight="true" outlineLevel="0" collapsed="false">
      <c r="A52" s="106" t="s">
        <v>193</v>
      </c>
      <c r="B52" s="161" t="s">
        <v>194</v>
      </c>
      <c r="C52" s="162"/>
      <c r="D52" s="162"/>
      <c r="E52" s="163" t="n">
        <f aca="false">E41</f>
        <v>1280.33355829606</v>
      </c>
    </row>
    <row r="53" s="146" customFormat="true" ht="15.75" hidden="false" customHeight="true" outlineLevel="0" collapsed="false">
      <c r="A53" s="106" t="s">
        <v>182</v>
      </c>
      <c r="B53" s="161" t="s">
        <v>195</v>
      </c>
      <c r="C53" s="162"/>
      <c r="D53" s="162"/>
      <c r="E53" s="163" t="n">
        <f aca="false">E49</f>
        <v>629.8273415</v>
      </c>
    </row>
    <row r="54" s="146" customFormat="true" ht="15.75" hidden="false" customHeight="true" outlineLevel="0" collapsed="false">
      <c r="A54" s="124" t="s">
        <v>196</v>
      </c>
      <c r="B54" s="124"/>
      <c r="C54" s="124"/>
      <c r="D54" s="124"/>
      <c r="E54" s="125" t="n">
        <f aca="false">SUM(E51:E53)</f>
        <v>2476.50987231994</v>
      </c>
    </row>
    <row r="55" s="146" customFormat="true" ht="15.75" hidden="false" customHeight="true" outlineLevel="0" collapsed="false">
      <c r="A55" s="114" t="s">
        <v>197</v>
      </c>
      <c r="B55" s="114"/>
      <c r="C55" s="114"/>
      <c r="D55" s="114"/>
      <c r="E55" s="114"/>
    </row>
    <row r="56" s="146" customFormat="true" ht="30" hidden="false" customHeight="true" outlineLevel="0" collapsed="false">
      <c r="A56" s="140" t="s">
        <v>198</v>
      </c>
      <c r="B56" s="141" t="s">
        <v>199</v>
      </c>
      <c r="C56" s="164" t="s">
        <v>165</v>
      </c>
      <c r="D56" s="67"/>
      <c r="E56" s="143" t="s">
        <v>139</v>
      </c>
    </row>
    <row r="57" s="146" customFormat="true" ht="15.75" hidden="false" customHeight="true" outlineLevel="0" collapsed="false">
      <c r="A57" s="131" t="s">
        <v>90</v>
      </c>
      <c r="B57" s="132" t="s">
        <v>200</v>
      </c>
      <c r="C57" s="165" t="n">
        <f aca="false">E$25+E$30</f>
        <v>3479.16727797842</v>
      </c>
      <c r="D57" s="134" t="n">
        <v>0.0046</v>
      </c>
      <c r="E57" s="82" t="n">
        <f aca="false">C57*D57</f>
        <v>16.0041694787008</v>
      </c>
    </row>
    <row r="58" s="146" customFormat="true" ht="15.75" hidden="false" customHeight="true" outlineLevel="0" collapsed="false">
      <c r="A58" s="131" t="s">
        <v>94</v>
      </c>
      <c r="B58" s="132" t="s">
        <v>201</v>
      </c>
      <c r="C58" s="165" t="n">
        <f aca="false">E$25+E$30</f>
        <v>3479.16727797842</v>
      </c>
      <c r="D58" s="134" t="n">
        <v>0.0004</v>
      </c>
      <c r="E58" s="82" t="n">
        <f aca="false">C58*D58</f>
        <v>1.39166691119137</v>
      </c>
    </row>
    <row r="59" s="146" customFormat="true" ht="15.75" hidden="false" customHeight="true" outlineLevel="0" collapsed="false">
      <c r="A59" s="131" t="s">
        <v>131</v>
      </c>
      <c r="B59" s="132" t="s">
        <v>202</v>
      </c>
      <c r="C59" s="165" t="n">
        <f aca="false">E$25+E$30</f>
        <v>3479.16727797842</v>
      </c>
      <c r="D59" s="134" t="n">
        <v>0.0194</v>
      </c>
      <c r="E59" s="82" t="n">
        <f aca="false">C59*D59</f>
        <v>67.4958451927814</v>
      </c>
    </row>
    <row r="60" s="146" customFormat="true" ht="30" hidden="false" customHeight="true" outlineLevel="0" collapsed="false">
      <c r="A60" s="131" t="s">
        <v>153</v>
      </c>
      <c r="B60" s="142" t="s">
        <v>203</v>
      </c>
      <c r="C60" s="165" t="n">
        <f aca="false">E$25+E$30</f>
        <v>3479.16727797842</v>
      </c>
      <c r="D60" s="166" t="n">
        <f aca="false">D41*D59</f>
        <v>0.0071392</v>
      </c>
      <c r="E60" s="82" t="n">
        <f aca="false">C60*D60</f>
        <v>24.8384710309436</v>
      </c>
    </row>
    <row r="61" s="146" customFormat="true" ht="32.25" hidden="false" customHeight="true" outlineLevel="0" collapsed="false">
      <c r="A61" s="131" t="s">
        <v>96</v>
      </c>
      <c r="B61" s="132" t="s">
        <v>204</v>
      </c>
      <c r="C61" s="165" t="n">
        <f aca="false">E$25+E$30</f>
        <v>3479.16727797842</v>
      </c>
      <c r="D61" s="134" t="n">
        <v>0.04</v>
      </c>
      <c r="E61" s="82" t="n">
        <f aca="false">C61*D61</f>
        <v>139.166691119137</v>
      </c>
    </row>
    <row r="62" s="146" customFormat="true" ht="15.75" hidden="false" customHeight="true" outlineLevel="0" collapsed="false">
      <c r="A62" s="124" t="s">
        <v>205</v>
      </c>
      <c r="B62" s="124"/>
      <c r="C62" s="124"/>
      <c r="D62" s="167" t="n">
        <f aca="false">SUM(D57:D61)</f>
        <v>0.0715392</v>
      </c>
      <c r="E62" s="125" t="n">
        <f aca="false">SUM(E57:E61)</f>
        <v>248.896843732754</v>
      </c>
    </row>
    <row r="63" s="146" customFormat="true" ht="15.75" hidden="false" customHeight="true" outlineLevel="0" collapsed="false">
      <c r="A63" s="114" t="s">
        <v>206</v>
      </c>
      <c r="B63" s="114"/>
      <c r="C63" s="114"/>
      <c r="D63" s="114"/>
      <c r="E63" s="114"/>
    </row>
    <row r="64" s="146" customFormat="true" ht="30" hidden="false" customHeight="true" outlineLevel="0" collapsed="false">
      <c r="A64" s="140" t="s">
        <v>207</v>
      </c>
      <c r="B64" s="168" t="s">
        <v>208</v>
      </c>
      <c r="C64" s="164" t="s">
        <v>165</v>
      </c>
      <c r="D64" s="169"/>
      <c r="E64" s="143" t="s">
        <v>139</v>
      </c>
    </row>
    <row r="65" s="146" customFormat="true" ht="15.75" hidden="false" customHeight="false" outlineLevel="0" collapsed="false">
      <c r="A65" s="131" t="s">
        <v>90</v>
      </c>
      <c r="B65" s="132" t="s">
        <v>209</v>
      </c>
      <c r="C65" s="170" t="n">
        <f aca="false">E$25+E$54+E$62+E85</f>
        <v>5674.79335484058</v>
      </c>
      <c r="D65" s="134" t="n">
        <f aca="false">D29/12</f>
        <v>0.00925833333333333</v>
      </c>
      <c r="E65" s="82" t="n">
        <f aca="false">C65*D65</f>
        <v>52.539128476899</v>
      </c>
    </row>
    <row r="66" s="146" customFormat="true" ht="15.75" hidden="false" customHeight="false" outlineLevel="0" collapsed="false">
      <c r="A66" s="131" t="s">
        <v>94</v>
      </c>
      <c r="B66" s="132" t="s">
        <v>210</v>
      </c>
      <c r="C66" s="170" t="n">
        <f aca="false">E$25+E$54+E$62+E85</f>
        <v>5674.79335484058</v>
      </c>
      <c r="D66" s="134" t="n">
        <v>0.0139</v>
      </c>
      <c r="E66" s="82" t="n">
        <f aca="false">C66*D66</f>
        <v>78.879627632284</v>
      </c>
    </row>
    <row r="67" s="146" customFormat="true" ht="15.75" hidden="false" customHeight="false" outlineLevel="0" collapsed="false">
      <c r="A67" s="131" t="s">
        <v>131</v>
      </c>
      <c r="B67" s="132" t="s">
        <v>211</v>
      </c>
      <c r="C67" s="170" t="n">
        <f aca="false">E$25+E$54+E$62+E85</f>
        <v>5674.79335484058</v>
      </c>
      <c r="D67" s="134" t="n">
        <v>0.0013</v>
      </c>
      <c r="E67" s="82" t="n">
        <f aca="false">C67*D67</f>
        <v>7.37723136129275</v>
      </c>
    </row>
    <row r="68" s="146" customFormat="true" ht="15.75" hidden="false" customHeight="false" outlineLevel="0" collapsed="false">
      <c r="A68" s="131" t="s">
        <v>153</v>
      </c>
      <c r="B68" s="132" t="s">
        <v>212</v>
      </c>
      <c r="C68" s="170" t="n">
        <f aca="false">E$25+E$54+E$62+E85</f>
        <v>5674.79335484058</v>
      </c>
      <c r="D68" s="134" t="n">
        <v>0.0002</v>
      </c>
      <c r="E68" s="82" t="n">
        <f aca="false">C68*D68</f>
        <v>1.13495867096812</v>
      </c>
    </row>
    <row r="69" s="146" customFormat="true" ht="15.75" hidden="false" customHeight="false" outlineLevel="0" collapsed="false">
      <c r="A69" s="131" t="s">
        <v>96</v>
      </c>
      <c r="B69" s="132" t="s">
        <v>213</v>
      </c>
      <c r="C69" s="170" t="n">
        <f aca="false">E$25+E$54+E$62+E85</f>
        <v>5674.79335484058</v>
      </c>
      <c r="D69" s="134" t="n">
        <v>0.0028</v>
      </c>
      <c r="E69" s="82" t="n">
        <f aca="false">C69*D69</f>
        <v>15.8894213935536</v>
      </c>
    </row>
    <row r="70" s="146" customFormat="true" ht="15.75" hidden="false" customHeight="false" outlineLevel="0" collapsed="false">
      <c r="A70" s="131" t="s">
        <v>158</v>
      </c>
      <c r="B70" s="132" t="s">
        <v>214</v>
      </c>
      <c r="C70" s="170" t="n">
        <f aca="false">E$25+E$54+E$62+E85</f>
        <v>5674.79335484058</v>
      </c>
      <c r="D70" s="134" t="n">
        <v>0.0003</v>
      </c>
      <c r="E70" s="82" t="n">
        <f aca="false">C70*D70</f>
        <v>1.70243800645217</v>
      </c>
    </row>
    <row r="71" s="146" customFormat="true" ht="15.75" hidden="false" customHeight="false" outlineLevel="0" collapsed="false">
      <c r="A71" s="131" t="s">
        <v>160</v>
      </c>
      <c r="B71" s="171" t="s">
        <v>215</v>
      </c>
      <c r="C71" s="170" t="n">
        <f aca="false">E$25+E$54+E$62+E85</f>
        <v>5674.79335484058</v>
      </c>
      <c r="D71" s="134" t="n">
        <v>0</v>
      </c>
      <c r="E71" s="82" t="n">
        <f aca="false">C71*D71</f>
        <v>0</v>
      </c>
    </row>
    <row r="72" s="146" customFormat="true" ht="15.75" hidden="false" customHeight="true" outlineLevel="0" collapsed="false">
      <c r="A72" s="136" t="s">
        <v>216</v>
      </c>
      <c r="B72" s="136"/>
      <c r="C72" s="136"/>
      <c r="D72" s="172" t="n">
        <f aca="false">SUM(D65:D71)</f>
        <v>0.0277583333333333</v>
      </c>
      <c r="E72" s="138" t="n">
        <f aca="false">SUM(E65:E71)</f>
        <v>157.52280554145</v>
      </c>
    </row>
    <row r="73" s="146" customFormat="true" ht="15.75" hidden="false" customHeight="true" outlineLevel="0" collapsed="false">
      <c r="A73" s="150" t="s">
        <v>217</v>
      </c>
      <c r="B73" s="150"/>
      <c r="C73" s="150"/>
      <c r="D73" s="150"/>
      <c r="E73" s="150"/>
    </row>
    <row r="74" s="146" customFormat="true" ht="15.75" hidden="false" customHeight="false" outlineLevel="0" collapsed="false">
      <c r="A74" s="140"/>
      <c r="B74" s="141" t="s">
        <v>217</v>
      </c>
      <c r="C74" s="142"/>
      <c r="D74" s="142"/>
      <c r="E74" s="143" t="s">
        <v>139</v>
      </c>
    </row>
    <row r="75" s="146" customFormat="true" ht="15.75" hidden="false" customHeight="true" outlineLevel="0" collapsed="false">
      <c r="A75" s="131" t="s">
        <v>90</v>
      </c>
      <c r="B75" s="132" t="s">
        <v>218</v>
      </c>
      <c r="C75" s="159"/>
      <c r="D75" s="134" t="n">
        <v>0</v>
      </c>
      <c r="E75" s="82" t="n">
        <f aca="false">(E$25+E$54+E$62+E85)*D75</f>
        <v>0</v>
      </c>
    </row>
    <row r="76" s="146" customFormat="true" ht="15.75" hidden="false" customHeight="true" outlineLevel="0" collapsed="false">
      <c r="A76" s="136" t="s">
        <v>219</v>
      </c>
      <c r="B76" s="136"/>
      <c r="C76" s="136"/>
      <c r="D76" s="137" t="n">
        <f aca="false">SUM(D75)</f>
        <v>0</v>
      </c>
      <c r="E76" s="138" t="n">
        <f aca="false">SUM(E75)</f>
        <v>0</v>
      </c>
    </row>
    <row r="77" s="146" customFormat="true" ht="15.75" hidden="false" customHeight="true" outlineLevel="0" collapsed="false">
      <c r="A77" s="173" t="s">
        <v>220</v>
      </c>
      <c r="B77" s="173"/>
      <c r="C77" s="173"/>
      <c r="D77" s="173"/>
      <c r="E77" s="173"/>
    </row>
    <row r="78" s="146" customFormat="true" ht="15.75" hidden="false" customHeight="true" outlineLevel="0" collapsed="false">
      <c r="A78" s="140" t="n">
        <v>4</v>
      </c>
      <c r="B78" s="174" t="s">
        <v>221</v>
      </c>
      <c r="C78" s="175"/>
      <c r="D78" s="176"/>
      <c r="E78" s="143" t="s">
        <v>139</v>
      </c>
    </row>
    <row r="79" s="146" customFormat="true" ht="15.75" hidden="false" customHeight="true" outlineLevel="0" collapsed="false">
      <c r="A79" s="131" t="s">
        <v>207</v>
      </c>
      <c r="B79" s="132" t="s">
        <v>208</v>
      </c>
      <c r="C79" s="175"/>
      <c r="D79" s="134" t="n">
        <f aca="false">D72</f>
        <v>0.0277583333333333</v>
      </c>
      <c r="E79" s="82" t="n">
        <f aca="false">E72</f>
        <v>157.52280554145</v>
      </c>
    </row>
    <row r="80" s="146" customFormat="true" ht="15.75" hidden="false" customHeight="true" outlineLevel="0" collapsed="false">
      <c r="A80" s="131" t="s">
        <v>222</v>
      </c>
      <c r="B80" s="132" t="s">
        <v>217</v>
      </c>
      <c r="C80" s="175"/>
      <c r="D80" s="134" t="n">
        <v>0</v>
      </c>
      <c r="E80" s="82" t="n">
        <f aca="false">(D$25+D$53+D$61)*D80</f>
        <v>0</v>
      </c>
    </row>
    <row r="81" s="146" customFormat="true" ht="15.75" hidden="false" customHeight="true" outlineLevel="0" collapsed="false">
      <c r="A81" s="136" t="s">
        <v>168</v>
      </c>
      <c r="B81" s="136"/>
      <c r="C81" s="136"/>
      <c r="D81" s="137" t="n">
        <f aca="false">SUM(D79:D80)</f>
        <v>0.0277583333333333</v>
      </c>
      <c r="E81" s="138" t="n">
        <f aca="false">SUM(E79:E80)</f>
        <v>157.52280554145</v>
      </c>
    </row>
    <row r="82" s="146" customFormat="true" ht="15.75" hidden="false" customHeight="true" outlineLevel="0" collapsed="false">
      <c r="A82" s="124" t="s">
        <v>223</v>
      </c>
      <c r="B82" s="124"/>
      <c r="C82" s="124"/>
      <c r="D82" s="124"/>
      <c r="E82" s="125" t="n">
        <f aca="false">SUM(E72+E76)</f>
        <v>157.52280554145</v>
      </c>
    </row>
    <row r="83" s="146" customFormat="true" ht="15.75" hidden="false" customHeight="true" outlineLevel="0" collapsed="false">
      <c r="A83" s="114" t="s">
        <v>224</v>
      </c>
      <c r="B83" s="114"/>
      <c r="C83" s="114"/>
      <c r="D83" s="114"/>
      <c r="E83" s="114"/>
    </row>
    <row r="84" s="146" customFormat="true" ht="15.75" hidden="false" customHeight="true" outlineLevel="0" collapsed="false">
      <c r="A84" s="140" t="n">
        <v>5</v>
      </c>
      <c r="B84" s="141" t="s">
        <v>225</v>
      </c>
      <c r="C84" s="142"/>
      <c r="D84" s="142"/>
      <c r="E84" s="143" t="s">
        <v>139</v>
      </c>
    </row>
    <row r="85" s="146" customFormat="true" ht="15.75" hidden="false" customHeight="true" outlineLevel="0" collapsed="false">
      <c r="A85" s="157" t="s">
        <v>90</v>
      </c>
      <c r="B85" s="123" t="s">
        <v>226</v>
      </c>
      <c r="C85" s="177"/>
      <c r="D85" s="178"/>
      <c r="E85" s="82" t="n">
        <f aca="false">'EPI''s e Uniformes'!H7</f>
        <v>36.5683333333333</v>
      </c>
    </row>
    <row r="86" s="146" customFormat="true" ht="15.75" hidden="false" customHeight="true" outlineLevel="0" collapsed="false">
      <c r="A86" s="157" t="s">
        <v>94</v>
      </c>
      <c r="B86" s="123" t="s">
        <v>227</v>
      </c>
      <c r="C86" s="177"/>
      <c r="D86" s="178"/>
      <c r="E86" s="82" t="n">
        <f aca="false">Materiais!H14</f>
        <v>859.832</v>
      </c>
    </row>
    <row r="87" s="146" customFormat="true" ht="15.75" hidden="false" customHeight="true" outlineLevel="0" collapsed="false">
      <c r="A87" s="157" t="s">
        <v>131</v>
      </c>
      <c r="B87" s="123" t="s">
        <v>228</v>
      </c>
      <c r="C87" s="177"/>
      <c r="D87" s="178"/>
      <c r="E87" s="82" t="n">
        <f aca="false">'Material Permanentes'!H23</f>
        <v>409.657222222222</v>
      </c>
    </row>
    <row r="88" s="146" customFormat="true" ht="15.75" hidden="false" customHeight="true" outlineLevel="0" collapsed="false">
      <c r="A88" s="157" t="s">
        <v>153</v>
      </c>
      <c r="B88" s="123" t="s">
        <v>229</v>
      </c>
      <c r="C88" s="177"/>
      <c r="D88" s="178"/>
      <c r="E88" s="82" t="n">
        <v>0</v>
      </c>
    </row>
    <row r="89" s="146" customFormat="true" ht="15.75" hidden="false" customHeight="true" outlineLevel="0" collapsed="false">
      <c r="A89" s="124" t="s">
        <v>230</v>
      </c>
      <c r="B89" s="124"/>
      <c r="C89" s="124"/>
      <c r="D89" s="124"/>
      <c r="E89" s="125" t="n">
        <f aca="false">SUM(E85:E88)</f>
        <v>1306.05755555556</v>
      </c>
    </row>
    <row r="90" s="146" customFormat="true" ht="23.25" hidden="false" customHeight="true" outlineLevel="0" collapsed="false">
      <c r="A90" s="126" t="s">
        <v>231</v>
      </c>
      <c r="B90" s="126"/>
      <c r="C90" s="126"/>
      <c r="D90" s="126"/>
      <c r="E90" s="179" t="n">
        <f aca="false">E89+E82+E62+E54+E25</f>
        <v>7101.80538260425</v>
      </c>
    </row>
    <row r="91" s="146" customFormat="true" ht="19.5" hidden="false" customHeight="true" outlineLevel="0" collapsed="false">
      <c r="A91" s="114" t="s">
        <v>232</v>
      </c>
      <c r="B91" s="114"/>
      <c r="C91" s="114"/>
      <c r="D91" s="114"/>
      <c r="E91" s="114"/>
    </row>
    <row r="92" s="146" customFormat="true" ht="30" hidden="false" customHeight="true" outlineLevel="0" collapsed="false">
      <c r="A92" s="140" t="n">
        <v>6</v>
      </c>
      <c r="B92" s="141" t="s">
        <v>233</v>
      </c>
      <c r="C92" s="63" t="s">
        <v>165</v>
      </c>
      <c r="D92" s="63"/>
      <c r="E92" s="143" t="s">
        <v>139</v>
      </c>
    </row>
    <row r="93" s="146" customFormat="true" ht="15.75" hidden="false" customHeight="false" outlineLevel="0" collapsed="false">
      <c r="A93" s="131" t="s">
        <v>90</v>
      </c>
      <c r="B93" s="132" t="s">
        <v>234</v>
      </c>
      <c r="C93" s="180" t="n">
        <f aca="false">E90</f>
        <v>7101.80538260425</v>
      </c>
      <c r="D93" s="134" t="n">
        <v>0.05</v>
      </c>
      <c r="E93" s="82" t="n">
        <f aca="false">+C93*D93</f>
        <v>355.090269130213</v>
      </c>
    </row>
    <row r="94" s="146" customFormat="true" ht="15.75" hidden="false" customHeight="false" outlineLevel="0" collapsed="false">
      <c r="A94" s="131" t="s">
        <v>94</v>
      </c>
      <c r="B94" s="132" t="s">
        <v>235</v>
      </c>
      <c r="C94" s="180" t="n">
        <f aca="false">E90+E93</f>
        <v>7456.89565173447</v>
      </c>
      <c r="D94" s="134" t="n">
        <v>0.1</v>
      </c>
      <c r="E94" s="82" t="n">
        <f aca="false">D94*(C94)</f>
        <v>745.689565173447</v>
      </c>
    </row>
    <row r="95" s="146" customFormat="true" ht="30.75" hidden="false" customHeight="true" outlineLevel="0" collapsed="false">
      <c r="A95" s="131"/>
      <c r="B95" s="132" t="s">
        <v>236</v>
      </c>
      <c r="C95" s="132"/>
      <c r="D95" s="134" t="n">
        <f aca="false">1-D102</f>
        <v>0.8575</v>
      </c>
      <c r="E95" s="82" t="n">
        <f aca="false">+E90+E93+E94</f>
        <v>8202.58521690791</v>
      </c>
    </row>
    <row r="96" s="146" customFormat="true" ht="15.75" hidden="false" customHeight="false" outlineLevel="0" collapsed="false">
      <c r="A96" s="131"/>
      <c r="B96" s="171"/>
      <c r="C96" s="181"/>
      <c r="D96" s="66"/>
      <c r="E96" s="182" t="n">
        <f aca="false">+E95/D95</f>
        <v>9565.69704595675</v>
      </c>
    </row>
    <row r="97" s="146" customFormat="true" ht="15.75" hidden="false" customHeight="false" outlineLevel="0" collapsed="false">
      <c r="A97" s="131" t="s">
        <v>131</v>
      </c>
      <c r="B97" s="171" t="s">
        <v>237</v>
      </c>
      <c r="C97" s="181"/>
      <c r="D97" s="183" t="n">
        <f aca="false">D99+D100+D101</f>
        <v>0.1425</v>
      </c>
      <c r="E97" s="182"/>
    </row>
    <row r="98" s="146" customFormat="true" ht="15.75" hidden="false" customHeight="false" outlineLevel="0" collapsed="false">
      <c r="A98" s="131" t="s">
        <v>238</v>
      </c>
      <c r="B98" s="171" t="s">
        <v>239</v>
      </c>
      <c r="C98" s="171"/>
      <c r="D98" s="183" t="n">
        <f aca="false">D99+D100</f>
        <v>0.0925</v>
      </c>
      <c r="E98" s="82"/>
    </row>
    <row r="99" s="146" customFormat="true" ht="15.75" hidden="false" customHeight="false" outlineLevel="0" collapsed="false">
      <c r="A99" s="131" t="s">
        <v>240</v>
      </c>
      <c r="B99" s="132" t="s">
        <v>241</v>
      </c>
      <c r="C99" s="81" t="n">
        <f aca="false">E96</f>
        <v>9565.69704595675</v>
      </c>
      <c r="D99" s="134" t="n">
        <v>0.0165</v>
      </c>
      <c r="E99" s="82" t="n">
        <f aca="false">C99*D99</f>
        <v>157.834001258286</v>
      </c>
    </row>
    <row r="100" s="146" customFormat="true" ht="15.75" hidden="false" customHeight="false" outlineLevel="0" collapsed="false">
      <c r="A100" s="131" t="s">
        <v>242</v>
      </c>
      <c r="B100" s="132" t="s">
        <v>243</v>
      </c>
      <c r="C100" s="81" t="n">
        <f aca="false">E96</f>
        <v>9565.69704595675</v>
      </c>
      <c r="D100" s="134" t="n">
        <v>0.076</v>
      </c>
      <c r="E100" s="82" t="n">
        <f aca="false">C100*D100</f>
        <v>726.992975492713</v>
      </c>
    </row>
    <row r="101" s="146" customFormat="true" ht="15.75" hidden="false" customHeight="false" outlineLevel="0" collapsed="false">
      <c r="A101" s="131" t="s">
        <v>244</v>
      </c>
      <c r="B101" s="132" t="s">
        <v>245</v>
      </c>
      <c r="C101" s="81" t="n">
        <f aca="false">E96</f>
        <v>9565.69704595675</v>
      </c>
      <c r="D101" s="134" t="n">
        <v>0.05</v>
      </c>
      <c r="E101" s="82" t="n">
        <f aca="false">C101*D101</f>
        <v>478.284852297837</v>
      </c>
    </row>
    <row r="102" s="146" customFormat="true" ht="15.75" hidden="false" customHeight="false" outlineLevel="0" collapsed="false">
      <c r="A102" s="140"/>
      <c r="B102" s="184" t="s">
        <v>246</v>
      </c>
      <c r="C102" s="184"/>
      <c r="D102" s="185" t="n">
        <f aca="false">D97</f>
        <v>0.1425</v>
      </c>
      <c r="E102" s="82" t="n">
        <f aca="false">SUM(E99:E101)</f>
        <v>1363.11182904884</v>
      </c>
    </row>
    <row r="103" s="146" customFormat="true" ht="15.75" hidden="false" customHeight="true" outlineLevel="0" collapsed="false">
      <c r="A103" s="136" t="s">
        <v>247</v>
      </c>
      <c r="B103" s="136"/>
      <c r="C103" s="136"/>
      <c r="D103" s="136"/>
      <c r="E103" s="138" t="n">
        <f aca="false">+E93+E94+E102</f>
        <v>2463.8916633525</v>
      </c>
    </row>
    <row r="104" s="146" customFormat="true" ht="15.75" hidden="false" customHeight="true" outlineLevel="0" collapsed="false">
      <c r="A104" s="186" t="s">
        <v>248</v>
      </c>
      <c r="B104" s="186"/>
      <c r="C104" s="186"/>
      <c r="D104" s="186"/>
      <c r="E104" s="187" t="s">
        <v>139</v>
      </c>
    </row>
    <row r="105" s="146" customFormat="true" ht="15.75" hidden="false" customHeight="true" outlineLevel="0" collapsed="false">
      <c r="A105" s="131" t="s">
        <v>90</v>
      </c>
      <c r="B105" s="171" t="s">
        <v>249</v>
      </c>
      <c r="C105" s="171"/>
      <c r="D105" s="171"/>
      <c r="E105" s="82" t="n">
        <f aca="false">+E25</f>
        <v>2912.81830545455</v>
      </c>
    </row>
    <row r="106" customFormat="false" ht="15.75" hidden="false" customHeight="true" outlineLevel="0" collapsed="false">
      <c r="A106" s="131" t="s">
        <v>94</v>
      </c>
      <c r="B106" s="171" t="s">
        <v>250</v>
      </c>
      <c r="C106" s="171"/>
      <c r="D106" s="171"/>
      <c r="E106" s="82" t="n">
        <f aca="false">+E54</f>
        <v>2476.50987231994</v>
      </c>
    </row>
    <row r="107" customFormat="false" ht="15.75" hidden="false" customHeight="true" outlineLevel="0" collapsed="false">
      <c r="A107" s="131" t="s">
        <v>131</v>
      </c>
      <c r="B107" s="171" t="s">
        <v>251</v>
      </c>
      <c r="C107" s="171"/>
      <c r="D107" s="171"/>
      <c r="E107" s="82" t="n">
        <f aca="false">E62</f>
        <v>248.896843732754</v>
      </c>
    </row>
    <row r="108" customFormat="false" ht="15.75" hidden="false" customHeight="true" outlineLevel="0" collapsed="false">
      <c r="A108" s="131" t="s">
        <v>153</v>
      </c>
      <c r="B108" s="171" t="s">
        <v>252</v>
      </c>
      <c r="C108" s="171"/>
      <c r="D108" s="171"/>
      <c r="E108" s="82" t="n">
        <f aca="false">E82</f>
        <v>157.52280554145</v>
      </c>
    </row>
    <row r="109" customFormat="false" ht="15.75" hidden="false" customHeight="true" outlineLevel="0" collapsed="false">
      <c r="A109" s="131" t="s">
        <v>96</v>
      </c>
      <c r="B109" s="171" t="s">
        <v>253</v>
      </c>
      <c r="C109" s="171"/>
      <c r="D109" s="171"/>
      <c r="E109" s="82" t="n">
        <f aca="false">E89</f>
        <v>1306.05755555556</v>
      </c>
    </row>
    <row r="110" customFormat="false" ht="15.75" hidden="false" customHeight="true" outlineLevel="0" collapsed="false">
      <c r="A110" s="140" t="s">
        <v>254</v>
      </c>
      <c r="B110" s="140"/>
      <c r="C110" s="140"/>
      <c r="D110" s="140"/>
      <c r="E110" s="188" t="n">
        <f aca="false">SUM(E105:E109)</f>
        <v>7101.80538260425</v>
      </c>
    </row>
    <row r="111" customFormat="false" ht="15.75" hidden="false" customHeight="true" outlineLevel="0" collapsed="false">
      <c r="A111" s="131" t="s">
        <v>158</v>
      </c>
      <c r="B111" s="171" t="s">
        <v>255</v>
      </c>
      <c r="C111" s="171"/>
      <c r="D111" s="171"/>
      <c r="E111" s="82" t="n">
        <f aca="false">+E103</f>
        <v>2463.8916633525</v>
      </c>
    </row>
    <row r="112" customFormat="false" ht="16.5" hidden="false" customHeight="true" outlineLevel="0" collapsed="false">
      <c r="A112" s="189" t="s">
        <v>256</v>
      </c>
      <c r="B112" s="189"/>
      <c r="C112" s="189"/>
      <c r="D112" s="189"/>
      <c r="E112" s="190" t="n">
        <f aca="false">+E110+E111</f>
        <v>9565.69704595675</v>
      </c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8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115" zoomScalePageLayoutView="100" workbookViewId="0">
      <selection pane="topLeft" activeCell="E48" activeCellId="0" sqref="E4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3" width="8.71"/>
    <col collapsed="false" customWidth="true" hidden="false" outlineLevel="0" max="2" min="2" style="94" width="70.71"/>
    <col collapsed="false" customWidth="true" hidden="false" outlineLevel="0" max="3" min="3" style="94" width="12.71"/>
    <col collapsed="false" customWidth="true" hidden="false" outlineLevel="0" max="4" min="4" style="95" width="8.71"/>
    <col collapsed="false" customWidth="true" hidden="false" outlineLevel="0" max="5" min="5" style="96" width="12.71"/>
    <col collapsed="false" customWidth="false" hidden="false" outlineLevel="0" max="16384" min="6" style="97" width="9.14"/>
  </cols>
  <sheetData>
    <row r="1" s="99" customFormat="true" ht="15.75" hidden="false" customHeight="false" outlineLevel="0" collapsed="false">
      <c r="A1" s="98"/>
      <c r="B1" s="98"/>
      <c r="C1" s="98"/>
      <c r="D1" s="98"/>
      <c r="E1" s="98"/>
      <c r="F1" s="97"/>
      <c r="G1" s="97"/>
      <c r="H1" s="97"/>
      <c r="I1" s="97"/>
      <c r="J1" s="97"/>
      <c r="K1" s="97"/>
      <c r="L1" s="97"/>
      <c r="M1" s="97"/>
    </row>
    <row r="2" s="99" customFormat="true" ht="16.5" hidden="false" customHeight="true" outlineLevel="0" collapsed="false">
      <c r="A2" s="100"/>
      <c r="B2" s="100"/>
      <c r="C2" s="100"/>
      <c r="D2" s="100"/>
      <c r="E2" s="100"/>
    </row>
    <row r="3" s="99" customFormat="true" ht="15.75" hidden="false" customHeight="false" outlineLevel="0" collapsed="false">
      <c r="A3" s="101" t="s">
        <v>127</v>
      </c>
      <c r="B3" s="101"/>
      <c r="C3" s="101"/>
      <c r="D3" s="101"/>
      <c r="E3" s="101"/>
    </row>
    <row r="4" s="99" customFormat="true" ht="15" hidden="false" customHeight="true" outlineLevel="0" collapsed="false">
      <c r="A4" s="102" t="s">
        <v>90</v>
      </c>
      <c r="B4" s="103" t="s">
        <v>128</v>
      </c>
      <c r="C4" s="104" t="n">
        <v>2025</v>
      </c>
      <c r="D4" s="104"/>
      <c r="E4" s="104"/>
    </row>
    <row r="5" s="99" customFormat="true" ht="75" hidden="false" customHeight="true" outlineLevel="0" collapsed="false">
      <c r="A5" s="102" t="s">
        <v>94</v>
      </c>
      <c r="B5" s="103" t="s">
        <v>129</v>
      </c>
      <c r="C5" s="105" t="s">
        <v>130</v>
      </c>
      <c r="D5" s="105"/>
      <c r="E5" s="105"/>
    </row>
    <row r="6" s="99" customFormat="true" ht="15.75" hidden="false" customHeight="true" outlineLevel="0" collapsed="false">
      <c r="A6" s="102" t="s">
        <v>131</v>
      </c>
      <c r="B6" s="103" t="s">
        <v>132</v>
      </c>
      <c r="C6" s="105" t="s">
        <v>133</v>
      </c>
      <c r="D6" s="105"/>
      <c r="E6" s="105"/>
    </row>
    <row r="7" s="99" customFormat="true" ht="15.75" hidden="false" customHeight="false" outlineLevel="0" collapsed="false">
      <c r="A7" s="102"/>
      <c r="B7" s="103" t="s">
        <v>134</v>
      </c>
      <c r="C7" s="105" t="n">
        <v>12</v>
      </c>
      <c r="D7" s="105"/>
      <c r="E7" s="105"/>
    </row>
    <row r="8" s="99" customFormat="true" ht="15.75" hidden="false" customHeight="false" outlineLevel="0" collapsed="false">
      <c r="A8" s="101" t="s">
        <v>135</v>
      </c>
      <c r="B8" s="101"/>
      <c r="C8" s="101"/>
      <c r="D8" s="101"/>
      <c r="E8" s="101"/>
      <c r="M8" s="192"/>
    </row>
    <row r="9" s="99" customFormat="true" ht="15.75" hidden="false" customHeight="false" outlineLevel="0" collapsed="false">
      <c r="A9" s="101" t="s">
        <v>136</v>
      </c>
      <c r="B9" s="101"/>
      <c r="C9" s="101"/>
      <c r="D9" s="101"/>
      <c r="E9" s="101"/>
    </row>
    <row r="10" s="99" customFormat="true" ht="15.75" hidden="false" customHeight="true" outlineLevel="0" collapsed="false">
      <c r="A10" s="101" t="s">
        <v>137</v>
      </c>
      <c r="B10" s="101"/>
      <c r="C10" s="101"/>
      <c r="D10" s="101"/>
      <c r="E10" s="101"/>
    </row>
    <row r="11" s="99" customFormat="true" ht="30" hidden="false" customHeight="true" outlineLevel="0" collapsed="false">
      <c r="A11" s="106" t="s">
        <v>138</v>
      </c>
      <c r="B11" s="106"/>
      <c r="C11" s="106"/>
      <c r="D11" s="106"/>
      <c r="E11" s="107" t="s">
        <v>139</v>
      </c>
    </row>
    <row r="12" s="99" customFormat="true" ht="75" hidden="false" customHeight="true" outlineLevel="0" collapsed="false">
      <c r="A12" s="102" t="n">
        <v>1</v>
      </c>
      <c r="B12" s="108" t="s">
        <v>140</v>
      </c>
      <c r="C12" s="109" t="s">
        <v>141</v>
      </c>
      <c r="D12" s="109"/>
      <c r="E12" s="109"/>
    </row>
    <row r="13" s="99" customFormat="true" ht="30" hidden="false" customHeight="true" outlineLevel="0" collapsed="false">
      <c r="A13" s="102" t="n">
        <v>2</v>
      </c>
      <c r="B13" s="108" t="s">
        <v>142</v>
      </c>
      <c r="C13" s="110" t="n">
        <v>3500.06</v>
      </c>
      <c r="D13" s="110"/>
      <c r="E13" s="110"/>
    </row>
    <row r="14" s="111" customFormat="true" ht="15.75" hidden="false" customHeight="true" outlineLevel="0" collapsed="false">
      <c r="A14" s="102" t="n">
        <v>3</v>
      </c>
      <c r="B14" s="108" t="s">
        <v>143</v>
      </c>
      <c r="C14" s="109" t="s">
        <v>258</v>
      </c>
      <c r="D14" s="109"/>
      <c r="E14" s="109"/>
      <c r="F14" s="99"/>
      <c r="G14" s="99"/>
      <c r="H14" s="99"/>
      <c r="I14" s="99"/>
      <c r="J14" s="99"/>
      <c r="K14" s="99"/>
      <c r="L14" s="99"/>
      <c r="M14" s="99"/>
    </row>
    <row r="15" s="111" customFormat="true" ht="15.75" hidden="false" customHeight="false" outlineLevel="0" collapsed="false">
      <c r="A15" s="102" t="n">
        <v>4</v>
      </c>
      <c r="B15" s="112" t="s">
        <v>145</v>
      </c>
      <c r="C15" s="113" t="n">
        <v>45673</v>
      </c>
      <c r="D15" s="113"/>
      <c r="E15" s="113"/>
      <c r="F15" s="99"/>
      <c r="G15" s="99"/>
      <c r="H15" s="99"/>
      <c r="I15" s="99"/>
      <c r="J15" s="99"/>
      <c r="K15" s="99"/>
      <c r="L15" s="99"/>
      <c r="M15" s="99"/>
    </row>
    <row r="16" s="99" customFormat="true" ht="15.75" hidden="false" customHeight="false" outlineLevel="0" collapsed="false">
      <c r="A16" s="114" t="s">
        <v>146</v>
      </c>
      <c r="B16" s="114"/>
      <c r="C16" s="114"/>
      <c r="D16" s="114"/>
      <c r="E16" s="114"/>
      <c r="F16" s="111"/>
      <c r="G16" s="111"/>
      <c r="H16" s="111"/>
      <c r="I16" s="111"/>
      <c r="J16" s="111"/>
      <c r="K16" s="111"/>
      <c r="L16" s="111"/>
      <c r="M16" s="111"/>
    </row>
    <row r="17" s="99" customFormat="true" ht="15.75" hidden="false" customHeight="true" outlineLevel="0" collapsed="false">
      <c r="A17" s="106" t="n">
        <v>1</v>
      </c>
      <c r="B17" s="115" t="s">
        <v>147</v>
      </c>
      <c r="C17" s="115"/>
      <c r="D17" s="115"/>
      <c r="E17" s="116" t="s">
        <v>139</v>
      </c>
      <c r="F17" s="111"/>
      <c r="G17" s="111"/>
      <c r="H17" s="111"/>
      <c r="I17" s="111"/>
      <c r="J17" s="111"/>
      <c r="K17" s="111"/>
      <c r="L17" s="111"/>
      <c r="M17" s="111"/>
    </row>
    <row r="18" s="99" customFormat="true" ht="15.75" hidden="false" customHeight="true" outlineLevel="0" collapsed="false">
      <c r="A18" s="117" t="s">
        <v>90</v>
      </c>
      <c r="B18" s="118" t="s">
        <v>148</v>
      </c>
      <c r="C18" s="112"/>
      <c r="D18" s="112"/>
      <c r="E18" s="119" t="n">
        <f aca="false">C13</f>
        <v>3500.06</v>
      </c>
    </row>
    <row r="19" s="111" customFormat="true" ht="15.75" hidden="false" customHeight="true" outlineLevel="0" collapsed="false">
      <c r="A19" s="117" t="s">
        <v>94</v>
      </c>
      <c r="B19" s="118" t="s">
        <v>149</v>
      </c>
      <c r="C19" s="120" t="s">
        <v>150</v>
      </c>
      <c r="D19" s="120"/>
      <c r="E19" s="119"/>
      <c r="F19" s="99"/>
      <c r="G19" s="99"/>
      <c r="H19" s="99"/>
      <c r="I19" s="99"/>
      <c r="J19" s="99"/>
      <c r="K19" s="99"/>
      <c r="L19" s="99"/>
      <c r="M19" s="99"/>
    </row>
    <row r="20" s="111" customFormat="true" ht="15.75" hidden="false" customHeight="true" outlineLevel="0" collapsed="false">
      <c r="A20" s="117" t="s">
        <v>131</v>
      </c>
      <c r="B20" s="118" t="s">
        <v>151</v>
      </c>
      <c r="C20" s="121" t="s">
        <v>152</v>
      </c>
      <c r="D20" s="121"/>
      <c r="E20" s="82" t="n">
        <f aca="false">40%*1621</f>
        <v>648.4</v>
      </c>
      <c r="F20" s="99"/>
      <c r="G20" s="99"/>
      <c r="H20" s="99"/>
      <c r="I20" s="99"/>
      <c r="J20" s="99"/>
      <c r="K20" s="99"/>
      <c r="L20" s="99"/>
      <c r="M20" s="99"/>
    </row>
    <row r="21" s="99" customFormat="true" ht="15.75" hidden="false" customHeight="true" outlineLevel="0" collapsed="false">
      <c r="A21" s="117" t="s">
        <v>153</v>
      </c>
      <c r="B21" s="118" t="s">
        <v>154</v>
      </c>
      <c r="C21" s="120" t="s">
        <v>155</v>
      </c>
      <c r="D21" s="120"/>
      <c r="E21" s="119"/>
    </row>
    <row r="22" s="99" customFormat="true" ht="15.75" hidden="false" customHeight="true" outlineLevel="0" collapsed="false">
      <c r="A22" s="117" t="s">
        <v>96</v>
      </c>
      <c r="B22" s="118" t="s">
        <v>156</v>
      </c>
      <c r="C22" s="120" t="s">
        <v>157</v>
      </c>
      <c r="D22" s="120"/>
      <c r="E22" s="119"/>
    </row>
    <row r="23" s="99" customFormat="true" ht="15.75" hidden="false" customHeight="false" outlineLevel="0" collapsed="false">
      <c r="A23" s="117" t="s">
        <v>158</v>
      </c>
      <c r="B23" s="118" t="s">
        <v>159</v>
      </c>
      <c r="C23" s="122"/>
      <c r="D23" s="122"/>
      <c r="E23" s="119"/>
    </row>
    <row r="24" customFormat="false" ht="15.75" hidden="false" customHeight="true" outlineLevel="0" collapsed="false">
      <c r="A24" s="117" t="s">
        <v>160</v>
      </c>
      <c r="B24" s="123" t="s">
        <v>161</v>
      </c>
      <c r="C24" s="122"/>
      <c r="D24" s="122"/>
      <c r="E24" s="119"/>
      <c r="F24" s="99"/>
      <c r="G24" s="99"/>
      <c r="H24" s="99"/>
      <c r="I24" s="99"/>
      <c r="J24" s="99"/>
      <c r="K24" s="99"/>
      <c r="L24" s="99"/>
      <c r="M24" s="99"/>
    </row>
    <row r="25" customFormat="false" ht="15.75" hidden="false" customHeight="true" outlineLevel="0" collapsed="false">
      <c r="A25" s="124" t="s">
        <v>162</v>
      </c>
      <c r="B25" s="124"/>
      <c r="C25" s="124"/>
      <c r="D25" s="124"/>
      <c r="E25" s="125" t="n">
        <f aca="false">SUM(E18:E24)</f>
        <v>4148.46</v>
      </c>
      <c r="F25" s="111"/>
      <c r="G25" s="111"/>
      <c r="H25" s="111"/>
      <c r="I25" s="111"/>
      <c r="J25" s="111"/>
      <c r="K25" s="111"/>
      <c r="L25" s="111"/>
      <c r="M25" s="111"/>
    </row>
    <row r="26" customFormat="false" ht="15.75" hidden="false" customHeight="false" outlineLevel="0" collapsed="false">
      <c r="A26" s="114" t="s">
        <v>163</v>
      </c>
      <c r="B26" s="114"/>
      <c r="C26" s="114"/>
      <c r="D26" s="114"/>
      <c r="E26" s="114"/>
      <c r="F26" s="111"/>
      <c r="G26" s="111"/>
      <c r="H26" s="111"/>
      <c r="I26" s="111"/>
      <c r="J26" s="111"/>
      <c r="K26" s="111"/>
      <c r="L26" s="111"/>
      <c r="M26" s="111"/>
    </row>
    <row r="27" customFormat="false" ht="30" hidden="false" customHeight="true" outlineLevel="0" collapsed="false">
      <c r="A27" s="126" t="n">
        <v>2</v>
      </c>
      <c r="B27" s="127" t="s">
        <v>164</v>
      </c>
      <c r="C27" s="128" t="s">
        <v>165</v>
      </c>
      <c r="D27" s="129"/>
      <c r="E27" s="130" t="s">
        <v>139</v>
      </c>
      <c r="F27" s="99"/>
      <c r="G27" s="99"/>
      <c r="H27" s="99"/>
      <c r="I27" s="99"/>
      <c r="J27" s="99"/>
      <c r="K27" s="99"/>
      <c r="L27" s="99"/>
      <c r="M27" s="99"/>
    </row>
    <row r="28" customFormat="false" ht="15.75" hidden="false" customHeight="false" outlineLevel="0" collapsed="false">
      <c r="A28" s="131" t="s">
        <v>90</v>
      </c>
      <c r="B28" s="132" t="s">
        <v>166</v>
      </c>
      <c r="C28" s="133" t="n">
        <f aca="false">E25</f>
        <v>4148.46</v>
      </c>
      <c r="D28" s="134" t="n">
        <f aca="false">1/12</f>
        <v>0.0833333333333333</v>
      </c>
      <c r="E28" s="82" t="n">
        <f aca="false">(E25)*D28</f>
        <v>345.705</v>
      </c>
      <c r="F28" s="99"/>
      <c r="G28" s="99"/>
      <c r="H28" s="99"/>
      <c r="I28" s="99"/>
      <c r="J28" s="99"/>
      <c r="K28" s="99"/>
      <c r="L28" s="99"/>
      <c r="M28" s="99"/>
    </row>
    <row r="29" customFormat="false" ht="15.75" hidden="false" customHeight="false" outlineLevel="0" collapsed="false">
      <c r="A29" s="131" t="s">
        <v>94</v>
      </c>
      <c r="B29" s="135" t="s">
        <v>167</v>
      </c>
      <c r="C29" s="133" t="n">
        <f aca="false">E25</f>
        <v>4148.46</v>
      </c>
      <c r="D29" s="134" t="n">
        <v>0.1111</v>
      </c>
      <c r="E29" s="82" t="n">
        <f aca="false">(E25)*D29</f>
        <v>460.893906</v>
      </c>
      <c r="F29" s="99"/>
      <c r="G29" s="99"/>
      <c r="H29" s="99"/>
      <c r="I29" s="99"/>
      <c r="J29" s="99"/>
      <c r="K29" s="99"/>
      <c r="L29" s="99"/>
      <c r="M29" s="99"/>
    </row>
    <row r="30" customFormat="false" ht="15.75" hidden="false" customHeight="true" outlineLevel="0" collapsed="false">
      <c r="A30" s="136" t="s">
        <v>168</v>
      </c>
      <c r="B30" s="136"/>
      <c r="C30" s="136"/>
      <c r="D30" s="137" t="n">
        <f aca="false">SUM(D28:D29)</f>
        <v>0.194433333333333</v>
      </c>
      <c r="E30" s="138" t="n">
        <f aca="false">SUM(E28:E29)</f>
        <v>806.598906</v>
      </c>
    </row>
    <row r="31" customFormat="false" ht="30" hidden="false" customHeight="true" outlineLevel="0" collapsed="false">
      <c r="A31" s="139" t="s">
        <v>169</v>
      </c>
      <c r="B31" s="139"/>
      <c r="C31" s="139"/>
      <c r="D31" s="139"/>
      <c r="E31" s="139"/>
    </row>
    <row r="32" customFormat="false" ht="30" hidden="false" customHeight="true" outlineLevel="0" collapsed="false">
      <c r="A32" s="140" t="s">
        <v>170</v>
      </c>
      <c r="B32" s="141" t="s">
        <v>171</v>
      </c>
      <c r="C32" s="63" t="s">
        <v>165</v>
      </c>
      <c r="D32" s="142"/>
      <c r="E32" s="143" t="s">
        <v>139</v>
      </c>
    </row>
    <row r="33" customFormat="false" ht="15.75" hidden="false" customHeight="false" outlineLevel="0" collapsed="false">
      <c r="A33" s="131" t="s">
        <v>90</v>
      </c>
      <c r="B33" s="144" t="s">
        <v>172</v>
      </c>
      <c r="C33" s="133" t="n">
        <f aca="false">E$25+E$30</f>
        <v>4955.058906</v>
      </c>
      <c r="D33" s="134" t="n">
        <v>0.2</v>
      </c>
      <c r="E33" s="82" t="n">
        <f aca="false">C33*D33</f>
        <v>991.0117812</v>
      </c>
    </row>
    <row r="34" s="146" customFormat="true" ht="15.75" hidden="false" customHeight="false" outlineLevel="0" collapsed="false">
      <c r="A34" s="131" t="s">
        <v>94</v>
      </c>
      <c r="B34" s="144" t="s">
        <v>173</v>
      </c>
      <c r="C34" s="133" t="n">
        <f aca="false">E$25+E$30</f>
        <v>4955.058906</v>
      </c>
      <c r="D34" s="145" t="n">
        <v>0.025</v>
      </c>
      <c r="E34" s="82" t="n">
        <f aca="false">C34*D34</f>
        <v>123.87647265</v>
      </c>
      <c r="F34" s="97"/>
      <c r="G34" s="97"/>
      <c r="H34" s="97"/>
      <c r="I34" s="97"/>
      <c r="J34" s="97"/>
      <c r="K34" s="97"/>
      <c r="L34" s="97"/>
      <c r="M34" s="97"/>
    </row>
    <row r="35" s="146" customFormat="true" ht="35.05" hidden="false" customHeight="false" outlineLevel="0" collapsed="false">
      <c r="A35" s="131" t="s">
        <v>131</v>
      </c>
      <c r="B35" s="147" t="s">
        <v>174</v>
      </c>
      <c r="C35" s="133" t="n">
        <f aca="false">E$25+E$30</f>
        <v>4955.058906</v>
      </c>
      <c r="D35" s="145" t="n">
        <v>0.03</v>
      </c>
      <c r="E35" s="82" t="n">
        <f aca="false">C35*D35</f>
        <v>148.65176718</v>
      </c>
      <c r="F35" s="97"/>
      <c r="G35" s="97"/>
      <c r="H35" s="97"/>
      <c r="I35" s="97"/>
      <c r="J35" s="97"/>
      <c r="K35" s="97"/>
      <c r="L35" s="97"/>
      <c r="M35" s="97"/>
    </row>
    <row r="36" s="146" customFormat="true" ht="15.75" hidden="false" customHeight="false" outlineLevel="0" collapsed="false">
      <c r="A36" s="131" t="s">
        <v>153</v>
      </c>
      <c r="B36" s="144" t="s">
        <v>175</v>
      </c>
      <c r="C36" s="133" t="n">
        <f aca="false">E$25+E$30</f>
        <v>4955.058906</v>
      </c>
      <c r="D36" s="145" t="n">
        <v>0.015</v>
      </c>
      <c r="E36" s="82" t="n">
        <f aca="false">C36*D36</f>
        <v>74.32588359</v>
      </c>
      <c r="F36" s="97"/>
      <c r="G36" s="97"/>
      <c r="H36" s="97"/>
      <c r="I36" s="97"/>
      <c r="J36" s="97"/>
      <c r="K36" s="97"/>
      <c r="L36" s="97"/>
      <c r="M36" s="97"/>
    </row>
    <row r="37" s="146" customFormat="true" ht="15.75" hidden="false" customHeight="false" outlineLevel="0" collapsed="false">
      <c r="A37" s="131" t="s">
        <v>96</v>
      </c>
      <c r="B37" s="144" t="s">
        <v>176</v>
      </c>
      <c r="C37" s="133" t="n">
        <f aca="false">E$25+E$30</f>
        <v>4955.058906</v>
      </c>
      <c r="D37" s="145" t="n">
        <v>0.01</v>
      </c>
      <c r="E37" s="82" t="n">
        <f aca="false">C37*D37</f>
        <v>49.55058906</v>
      </c>
      <c r="F37" s="97"/>
      <c r="G37" s="97"/>
      <c r="H37" s="97"/>
      <c r="I37" s="97"/>
      <c r="J37" s="97"/>
      <c r="K37" s="97"/>
      <c r="L37" s="97"/>
      <c r="M37" s="97"/>
    </row>
    <row r="38" s="146" customFormat="true" ht="15.75" hidden="false" customHeight="false" outlineLevel="0" collapsed="false">
      <c r="A38" s="131" t="s">
        <v>158</v>
      </c>
      <c r="B38" s="148" t="s">
        <v>177</v>
      </c>
      <c r="C38" s="133" t="n">
        <f aca="false">E$25+E$30</f>
        <v>4955.058906</v>
      </c>
      <c r="D38" s="145" t="n">
        <v>0.006</v>
      </c>
      <c r="E38" s="82" t="n">
        <f aca="false">C38*D38</f>
        <v>29.730353436</v>
      </c>
      <c r="F38" s="97"/>
      <c r="G38" s="97"/>
      <c r="H38" s="97"/>
      <c r="I38" s="97"/>
      <c r="J38" s="97"/>
      <c r="K38" s="97"/>
      <c r="L38" s="97"/>
      <c r="M38" s="97"/>
    </row>
    <row r="39" s="146" customFormat="true" ht="23.85" hidden="false" customHeight="false" outlineLevel="0" collapsed="false">
      <c r="A39" s="131" t="s">
        <v>160</v>
      </c>
      <c r="B39" s="147" t="s">
        <v>178</v>
      </c>
      <c r="C39" s="133" t="n">
        <f aca="false">E$25+E$30</f>
        <v>4955.058906</v>
      </c>
      <c r="D39" s="145" t="n">
        <v>0.002</v>
      </c>
      <c r="E39" s="82" t="n">
        <f aca="false">C39*D39</f>
        <v>9.910117812</v>
      </c>
      <c r="F39" s="97"/>
      <c r="G39" s="97"/>
      <c r="H39" s="97"/>
      <c r="I39" s="97"/>
      <c r="J39" s="97"/>
      <c r="K39" s="97"/>
      <c r="L39" s="97"/>
      <c r="M39" s="97"/>
    </row>
    <row r="40" s="146" customFormat="true" ht="15.75" hidden="false" customHeight="false" outlineLevel="0" collapsed="false">
      <c r="A40" s="131" t="s">
        <v>179</v>
      </c>
      <c r="B40" s="144" t="s">
        <v>180</v>
      </c>
      <c r="C40" s="133" t="n">
        <f aca="false">E$25+E$30</f>
        <v>4955.058906</v>
      </c>
      <c r="D40" s="145" t="n">
        <v>0.08</v>
      </c>
      <c r="E40" s="82" t="n">
        <f aca="false">C40*D40</f>
        <v>396.40471248</v>
      </c>
      <c r="F40" s="97"/>
      <c r="G40" s="97"/>
      <c r="H40" s="97"/>
      <c r="I40" s="97"/>
      <c r="J40" s="97"/>
      <c r="K40" s="97"/>
      <c r="L40" s="97"/>
      <c r="M40" s="97"/>
    </row>
    <row r="41" s="146" customFormat="true" ht="15.75" hidden="false" customHeight="true" outlineLevel="0" collapsed="false">
      <c r="A41" s="136" t="s">
        <v>168</v>
      </c>
      <c r="B41" s="136"/>
      <c r="C41" s="136"/>
      <c r="D41" s="149" t="n">
        <f aca="false">SUM(D33:D40)</f>
        <v>0.368</v>
      </c>
      <c r="E41" s="138" t="n">
        <f aca="false">SUM(E33:E40)</f>
        <v>1823.461677408</v>
      </c>
    </row>
    <row r="42" s="146" customFormat="true" ht="15.75" hidden="false" customHeight="false" outlineLevel="0" collapsed="false">
      <c r="A42" s="150" t="s">
        <v>181</v>
      </c>
      <c r="B42" s="150"/>
      <c r="C42" s="150"/>
      <c r="D42" s="150"/>
      <c r="E42" s="150"/>
    </row>
    <row r="43" s="146" customFormat="true" ht="30" hidden="false" customHeight="true" outlineLevel="0" collapsed="false">
      <c r="A43" s="151" t="s">
        <v>182</v>
      </c>
      <c r="B43" s="152" t="s">
        <v>183</v>
      </c>
      <c r="C43" s="128" t="s">
        <v>165</v>
      </c>
      <c r="D43" s="129"/>
      <c r="E43" s="130" t="s">
        <v>139</v>
      </c>
    </row>
    <row r="44" s="146" customFormat="true" ht="15.75" hidden="false" customHeight="false" outlineLevel="0" collapsed="false">
      <c r="A44" s="153" t="s">
        <v>90</v>
      </c>
      <c r="B44" s="154" t="s">
        <v>184</v>
      </c>
      <c r="C44" s="155" t="n">
        <v>0</v>
      </c>
      <c r="D44" s="154"/>
      <c r="E44" s="156" t="n">
        <v>0</v>
      </c>
    </row>
    <row r="45" s="146" customFormat="true" ht="15.75" hidden="false" customHeight="false" outlineLevel="0" collapsed="false">
      <c r="A45" s="157" t="s">
        <v>94</v>
      </c>
      <c r="B45" s="123" t="s">
        <v>185</v>
      </c>
      <c r="C45" s="158" t="n">
        <v>626.94</v>
      </c>
      <c r="D45" s="122"/>
      <c r="E45" s="119" t="n">
        <f aca="false">C45-(C45*0.99%)</f>
        <v>620.733294</v>
      </c>
    </row>
    <row r="46" s="146" customFormat="true" ht="15.75" hidden="false" customHeight="false" outlineLevel="0" collapsed="false">
      <c r="A46" s="131" t="s">
        <v>131</v>
      </c>
      <c r="B46" s="132" t="s">
        <v>186</v>
      </c>
      <c r="C46" s="159"/>
      <c r="D46" s="160"/>
      <c r="E46" s="82" t="n">
        <v>0</v>
      </c>
    </row>
    <row r="47" s="146" customFormat="true" ht="23.85" hidden="false" customHeight="false" outlineLevel="0" collapsed="false">
      <c r="A47" s="131" t="s">
        <v>153</v>
      </c>
      <c r="B47" s="132" t="s">
        <v>187</v>
      </c>
      <c r="C47" s="159" t="s">
        <v>259</v>
      </c>
      <c r="D47" s="160"/>
      <c r="E47" s="82" t="n">
        <f aca="false">C13*50%*0.0199*2/12</f>
        <v>5.80426616666667</v>
      </c>
    </row>
    <row r="48" s="146" customFormat="true" ht="15.75" hidden="false" customHeight="false" outlineLevel="0" collapsed="false">
      <c r="A48" s="131" t="s">
        <v>96</v>
      </c>
      <c r="B48" s="132" t="s">
        <v>189</v>
      </c>
      <c r="C48" s="66"/>
      <c r="D48" s="160"/>
      <c r="E48" s="82" t="n">
        <v>5.82</v>
      </c>
    </row>
    <row r="49" s="146" customFormat="true" ht="15.75" hidden="false" customHeight="true" outlineLevel="0" collapsed="false">
      <c r="A49" s="136" t="s">
        <v>190</v>
      </c>
      <c r="B49" s="136"/>
      <c r="C49" s="136"/>
      <c r="D49" s="136"/>
      <c r="E49" s="138" t="n">
        <f aca="false">SUM(E44:E48)</f>
        <v>632.357560166667</v>
      </c>
    </row>
    <row r="50" s="146" customFormat="true" ht="15.75" hidden="false" customHeight="true" outlineLevel="0" collapsed="false">
      <c r="A50" s="150" t="s">
        <v>191</v>
      </c>
      <c r="B50" s="150"/>
      <c r="C50" s="150"/>
      <c r="D50" s="150"/>
      <c r="E50" s="150"/>
    </row>
    <row r="51" s="146" customFormat="true" ht="15.75" hidden="false" customHeight="true" outlineLevel="0" collapsed="false">
      <c r="A51" s="106" t="s">
        <v>170</v>
      </c>
      <c r="B51" s="161" t="s">
        <v>192</v>
      </c>
      <c r="C51" s="162"/>
      <c r="D51" s="162"/>
      <c r="E51" s="163" t="n">
        <f aca="false">E30</f>
        <v>806.598906</v>
      </c>
    </row>
    <row r="52" s="146" customFormat="true" ht="15.75" hidden="false" customHeight="true" outlineLevel="0" collapsed="false">
      <c r="A52" s="106" t="s">
        <v>193</v>
      </c>
      <c r="B52" s="161" t="s">
        <v>194</v>
      </c>
      <c r="C52" s="162"/>
      <c r="D52" s="162"/>
      <c r="E52" s="163" t="n">
        <f aca="false">E41</f>
        <v>1823.461677408</v>
      </c>
    </row>
    <row r="53" s="146" customFormat="true" ht="15.75" hidden="false" customHeight="true" outlineLevel="0" collapsed="false">
      <c r="A53" s="106" t="s">
        <v>182</v>
      </c>
      <c r="B53" s="161" t="s">
        <v>195</v>
      </c>
      <c r="C53" s="162"/>
      <c r="D53" s="162"/>
      <c r="E53" s="163" t="n">
        <f aca="false">E49</f>
        <v>632.357560166667</v>
      </c>
    </row>
    <row r="54" s="146" customFormat="true" ht="15.75" hidden="false" customHeight="true" outlineLevel="0" collapsed="false">
      <c r="A54" s="124" t="s">
        <v>196</v>
      </c>
      <c r="B54" s="124"/>
      <c r="C54" s="124"/>
      <c r="D54" s="124"/>
      <c r="E54" s="125" t="n">
        <f aca="false">SUM(E51:E53)</f>
        <v>3262.41814357467</v>
      </c>
    </row>
    <row r="55" s="146" customFormat="true" ht="15.75" hidden="false" customHeight="true" outlineLevel="0" collapsed="false">
      <c r="A55" s="114" t="s">
        <v>197</v>
      </c>
      <c r="B55" s="114"/>
      <c r="C55" s="114"/>
      <c r="D55" s="114"/>
      <c r="E55" s="114"/>
    </row>
    <row r="56" s="146" customFormat="true" ht="30" hidden="false" customHeight="true" outlineLevel="0" collapsed="false">
      <c r="A56" s="140" t="s">
        <v>198</v>
      </c>
      <c r="B56" s="141" t="s">
        <v>199</v>
      </c>
      <c r="C56" s="164" t="s">
        <v>165</v>
      </c>
      <c r="D56" s="67"/>
      <c r="E56" s="143" t="s">
        <v>139</v>
      </c>
    </row>
    <row r="57" s="146" customFormat="true" ht="15.75" hidden="false" customHeight="true" outlineLevel="0" collapsed="false">
      <c r="A57" s="131" t="s">
        <v>90</v>
      </c>
      <c r="B57" s="132" t="s">
        <v>200</v>
      </c>
      <c r="C57" s="165" t="n">
        <f aca="false">E$25+E$30</f>
        <v>4955.058906</v>
      </c>
      <c r="D57" s="134" t="n">
        <v>0.0046</v>
      </c>
      <c r="E57" s="82" t="n">
        <f aca="false">C57*D57</f>
        <v>22.7932709676</v>
      </c>
    </row>
    <row r="58" s="146" customFormat="true" ht="15.75" hidden="false" customHeight="true" outlineLevel="0" collapsed="false">
      <c r="A58" s="131" t="s">
        <v>94</v>
      </c>
      <c r="B58" s="132" t="s">
        <v>201</v>
      </c>
      <c r="C58" s="165" t="n">
        <f aca="false">E$25+E$30</f>
        <v>4955.058906</v>
      </c>
      <c r="D58" s="134" t="n">
        <v>0.0004</v>
      </c>
      <c r="E58" s="82" t="n">
        <f aca="false">C58*D58</f>
        <v>1.9820235624</v>
      </c>
    </row>
    <row r="59" s="146" customFormat="true" ht="15.75" hidden="false" customHeight="true" outlineLevel="0" collapsed="false">
      <c r="A59" s="131" t="s">
        <v>131</v>
      </c>
      <c r="B59" s="132" t="s">
        <v>202</v>
      </c>
      <c r="C59" s="165" t="n">
        <f aca="false">E$25+E$30</f>
        <v>4955.058906</v>
      </c>
      <c r="D59" s="134" t="n">
        <v>0.0194</v>
      </c>
      <c r="E59" s="82" t="n">
        <f aca="false">C59*D59</f>
        <v>96.1281427764</v>
      </c>
    </row>
    <row r="60" s="146" customFormat="true" ht="30" hidden="false" customHeight="true" outlineLevel="0" collapsed="false">
      <c r="A60" s="131" t="s">
        <v>153</v>
      </c>
      <c r="B60" s="142" t="s">
        <v>203</v>
      </c>
      <c r="C60" s="165" t="n">
        <f aca="false">E$25+E$30</f>
        <v>4955.058906</v>
      </c>
      <c r="D60" s="166" t="n">
        <f aca="false">D41*D59</f>
        <v>0.0071392</v>
      </c>
      <c r="E60" s="82" t="n">
        <f aca="false">C60*D60</f>
        <v>35.3751565417152</v>
      </c>
    </row>
    <row r="61" s="146" customFormat="true" ht="32.25" hidden="false" customHeight="true" outlineLevel="0" collapsed="false">
      <c r="A61" s="131" t="s">
        <v>96</v>
      </c>
      <c r="B61" s="132" t="s">
        <v>204</v>
      </c>
      <c r="C61" s="165" t="n">
        <f aca="false">E$25+E$30</f>
        <v>4955.058906</v>
      </c>
      <c r="D61" s="134" t="n">
        <v>0.04</v>
      </c>
      <c r="E61" s="82" t="n">
        <f aca="false">C61*D61</f>
        <v>198.20235624</v>
      </c>
    </row>
    <row r="62" s="146" customFormat="true" ht="15.75" hidden="false" customHeight="true" outlineLevel="0" collapsed="false">
      <c r="A62" s="124" t="s">
        <v>205</v>
      </c>
      <c r="B62" s="124"/>
      <c r="C62" s="124"/>
      <c r="D62" s="167" t="n">
        <f aca="false">SUM(D57:D61)</f>
        <v>0.0715392</v>
      </c>
      <c r="E62" s="125" t="n">
        <f aca="false">SUM(E57:E61)</f>
        <v>354.480950088115</v>
      </c>
    </row>
    <row r="63" s="146" customFormat="true" ht="15.75" hidden="false" customHeight="true" outlineLevel="0" collapsed="false">
      <c r="A63" s="114" t="s">
        <v>206</v>
      </c>
      <c r="B63" s="114"/>
      <c r="C63" s="114"/>
      <c r="D63" s="114"/>
      <c r="E63" s="114"/>
    </row>
    <row r="64" s="146" customFormat="true" ht="30" hidden="false" customHeight="true" outlineLevel="0" collapsed="false">
      <c r="A64" s="140" t="s">
        <v>207</v>
      </c>
      <c r="B64" s="168" t="s">
        <v>208</v>
      </c>
      <c r="C64" s="164" t="s">
        <v>165</v>
      </c>
      <c r="D64" s="169"/>
      <c r="E64" s="143" t="s">
        <v>139</v>
      </c>
    </row>
    <row r="65" s="146" customFormat="true" ht="15.75" hidden="false" customHeight="false" outlineLevel="0" collapsed="false">
      <c r="A65" s="131" t="s">
        <v>90</v>
      </c>
      <c r="B65" s="132" t="s">
        <v>209</v>
      </c>
      <c r="C65" s="170" t="n">
        <f aca="false">E$25+E$54+E$62+E85</f>
        <v>7801.92742699612</v>
      </c>
      <c r="D65" s="134" t="n">
        <f aca="false">D29/12</f>
        <v>0.00925833333333333</v>
      </c>
      <c r="E65" s="82" t="n">
        <f aca="false">C65*D65</f>
        <v>72.2328447616057</v>
      </c>
    </row>
    <row r="66" s="146" customFormat="true" ht="15.75" hidden="false" customHeight="false" outlineLevel="0" collapsed="false">
      <c r="A66" s="131" t="s">
        <v>94</v>
      </c>
      <c r="B66" s="132" t="s">
        <v>210</v>
      </c>
      <c r="C66" s="170" t="n">
        <f aca="false">E$25+E$54+E$62+E85</f>
        <v>7801.92742699612</v>
      </c>
      <c r="D66" s="134" t="n">
        <v>0.0139</v>
      </c>
      <c r="E66" s="82" t="n">
        <f aca="false">C66*D66</f>
        <v>108.446791235246</v>
      </c>
    </row>
    <row r="67" s="146" customFormat="true" ht="15.75" hidden="false" customHeight="false" outlineLevel="0" collapsed="false">
      <c r="A67" s="131" t="s">
        <v>131</v>
      </c>
      <c r="B67" s="132" t="s">
        <v>211</v>
      </c>
      <c r="C67" s="170" t="n">
        <f aca="false">E$25+E$54+E$62+E85</f>
        <v>7801.92742699612</v>
      </c>
      <c r="D67" s="134" t="n">
        <v>0.0013</v>
      </c>
      <c r="E67" s="82" t="n">
        <f aca="false">C67*D67</f>
        <v>10.1425056550949</v>
      </c>
    </row>
    <row r="68" s="146" customFormat="true" ht="15.75" hidden="false" customHeight="false" outlineLevel="0" collapsed="false">
      <c r="A68" s="131" t="s">
        <v>153</v>
      </c>
      <c r="B68" s="132" t="s">
        <v>212</v>
      </c>
      <c r="C68" s="170" t="n">
        <f aca="false">E$25+E$54+E$62+E85</f>
        <v>7801.92742699612</v>
      </c>
      <c r="D68" s="134" t="n">
        <v>0.0002</v>
      </c>
      <c r="E68" s="82" t="n">
        <f aca="false">C68*D68</f>
        <v>1.56038548539922</v>
      </c>
    </row>
    <row r="69" s="146" customFormat="true" ht="15.75" hidden="false" customHeight="false" outlineLevel="0" collapsed="false">
      <c r="A69" s="131" t="s">
        <v>96</v>
      </c>
      <c r="B69" s="132" t="s">
        <v>213</v>
      </c>
      <c r="C69" s="170" t="n">
        <f aca="false">E$25+E$54+E$62+E85</f>
        <v>7801.92742699612</v>
      </c>
      <c r="D69" s="134" t="n">
        <v>0.0028</v>
      </c>
      <c r="E69" s="82" t="n">
        <f aca="false">C69*D69</f>
        <v>21.8453967955891</v>
      </c>
    </row>
    <row r="70" s="146" customFormat="true" ht="15.75" hidden="false" customHeight="false" outlineLevel="0" collapsed="false">
      <c r="A70" s="131" t="s">
        <v>158</v>
      </c>
      <c r="B70" s="132" t="s">
        <v>214</v>
      </c>
      <c r="C70" s="170" t="n">
        <f aca="false">E$25+E$54+E$62+E86</f>
        <v>7765.35909366278</v>
      </c>
      <c r="D70" s="134" t="n">
        <v>0.0003</v>
      </c>
      <c r="E70" s="82" t="n">
        <f aca="false">C70*D70</f>
        <v>2.32960772809883</v>
      </c>
    </row>
    <row r="71" s="146" customFormat="true" ht="15.75" hidden="false" customHeight="false" outlineLevel="0" collapsed="false">
      <c r="A71" s="131" t="s">
        <v>160</v>
      </c>
      <c r="B71" s="171" t="s">
        <v>215</v>
      </c>
      <c r="C71" s="170" t="n">
        <f aca="false">E$25+E$54+E$62+E85</f>
        <v>7801.92742699612</v>
      </c>
      <c r="D71" s="134" t="n">
        <v>0</v>
      </c>
      <c r="E71" s="82" t="n">
        <f aca="false">C71*D71</f>
        <v>0</v>
      </c>
    </row>
    <row r="72" s="146" customFormat="true" ht="15.75" hidden="false" customHeight="true" outlineLevel="0" collapsed="false">
      <c r="A72" s="136" t="s">
        <v>216</v>
      </c>
      <c r="B72" s="136"/>
      <c r="C72" s="136"/>
      <c r="D72" s="172" t="n">
        <f aca="false">SUM(D65:D71)</f>
        <v>0.0277583333333333</v>
      </c>
      <c r="E72" s="138" t="n">
        <f aca="false">SUM(E65:E71)</f>
        <v>216.557531661034</v>
      </c>
    </row>
    <row r="73" s="146" customFormat="true" ht="15.75" hidden="false" customHeight="true" outlineLevel="0" collapsed="false">
      <c r="A73" s="150" t="s">
        <v>217</v>
      </c>
      <c r="B73" s="150"/>
      <c r="C73" s="150"/>
      <c r="D73" s="150"/>
      <c r="E73" s="150"/>
    </row>
    <row r="74" s="146" customFormat="true" ht="15.75" hidden="false" customHeight="false" outlineLevel="0" collapsed="false">
      <c r="A74" s="140"/>
      <c r="B74" s="141" t="s">
        <v>217</v>
      </c>
      <c r="C74" s="142"/>
      <c r="D74" s="142"/>
      <c r="E74" s="143" t="s">
        <v>139</v>
      </c>
    </row>
    <row r="75" s="146" customFormat="true" ht="15.75" hidden="false" customHeight="true" outlineLevel="0" collapsed="false">
      <c r="A75" s="131" t="s">
        <v>90</v>
      </c>
      <c r="B75" s="132" t="s">
        <v>218</v>
      </c>
      <c r="C75" s="159"/>
      <c r="D75" s="134" t="n">
        <v>0</v>
      </c>
      <c r="E75" s="82" t="n">
        <f aca="false">(E$25+E$54+E$62)*D75</f>
        <v>0</v>
      </c>
    </row>
    <row r="76" s="146" customFormat="true" ht="15.75" hidden="false" customHeight="true" outlineLevel="0" collapsed="false">
      <c r="A76" s="136" t="s">
        <v>219</v>
      </c>
      <c r="B76" s="136"/>
      <c r="C76" s="136"/>
      <c r="D76" s="137" t="n">
        <f aca="false">SUM(D75)</f>
        <v>0</v>
      </c>
      <c r="E76" s="138" t="n">
        <f aca="false">SUM(E75)</f>
        <v>0</v>
      </c>
    </row>
    <row r="77" s="146" customFormat="true" ht="15.75" hidden="false" customHeight="true" outlineLevel="0" collapsed="false">
      <c r="A77" s="173" t="s">
        <v>220</v>
      </c>
      <c r="B77" s="173"/>
      <c r="C77" s="173"/>
      <c r="D77" s="173"/>
      <c r="E77" s="173"/>
    </row>
    <row r="78" s="146" customFormat="true" ht="15.75" hidden="false" customHeight="true" outlineLevel="0" collapsed="false">
      <c r="A78" s="140" t="n">
        <v>4</v>
      </c>
      <c r="B78" s="174" t="s">
        <v>221</v>
      </c>
      <c r="C78" s="175"/>
      <c r="D78" s="176"/>
      <c r="E78" s="143" t="s">
        <v>139</v>
      </c>
    </row>
    <row r="79" s="146" customFormat="true" ht="15.75" hidden="false" customHeight="true" outlineLevel="0" collapsed="false">
      <c r="A79" s="131" t="s">
        <v>207</v>
      </c>
      <c r="B79" s="132" t="s">
        <v>208</v>
      </c>
      <c r="C79" s="175"/>
      <c r="D79" s="134" t="n">
        <f aca="false">D72</f>
        <v>0.0277583333333333</v>
      </c>
      <c r="E79" s="82" t="n">
        <f aca="false">E72</f>
        <v>216.557531661034</v>
      </c>
    </row>
    <row r="80" s="146" customFormat="true" ht="15.75" hidden="false" customHeight="true" outlineLevel="0" collapsed="false">
      <c r="A80" s="131" t="s">
        <v>222</v>
      </c>
      <c r="B80" s="132" t="s">
        <v>217</v>
      </c>
      <c r="C80" s="175"/>
      <c r="D80" s="134" t="n">
        <v>0</v>
      </c>
      <c r="E80" s="82" t="n">
        <f aca="false">(D$25+D$53+D$61)*D80</f>
        <v>0</v>
      </c>
    </row>
    <row r="81" s="146" customFormat="true" ht="15.75" hidden="false" customHeight="true" outlineLevel="0" collapsed="false">
      <c r="A81" s="136" t="s">
        <v>168</v>
      </c>
      <c r="B81" s="136"/>
      <c r="C81" s="136"/>
      <c r="D81" s="137" t="n">
        <f aca="false">SUM(D79:D80)</f>
        <v>0.0277583333333333</v>
      </c>
      <c r="E81" s="138" t="n">
        <f aca="false">SUM(E79:E80)</f>
        <v>216.557531661034</v>
      </c>
    </row>
    <row r="82" s="146" customFormat="true" ht="15.75" hidden="false" customHeight="true" outlineLevel="0" collapsed="false">
      <c r="A82" s="124" t="s">
        <v>223</v>
      </c>
      <c r="B82" s="124"/>
      <c r="C82" s="124"/>
      <c r="D82" s="124"/>
      <c r="E82" s="125" t="n">
        <f aca="false">SUM(E72+E76)</f>
        <v>216.557531661034</v>
      </c>
    </row>
    <row r="83" s="146" customFormat="true" ht="15.75" hidden="false" customHeight="true" outlineLevel="0" collapsed="false">
      <c r="A83" s="114" t="s">
        <v>224</v>
      </c>
      <c r="B83" s="114"/>
      <c r="C83" s="114"/>
      <c r="D83" s="114"/>
      <c r="E83" s="114"/>
    </row>
    <row r="84" s="146" customFormat="true" ht="15.75" hidden="false" customHeight="true" outlineLevel="0" collapsed="false">
      <c r="A84" s="140" t="n">
        <v>5</v>
      </c>
      <c r="B84" s="141" t="s">
        <v>225</v>
      </c>
      <c r="C84" s="142"/>
      <c r="D84" s="142"/>
      <c r="E84" s="143" t="s">
        <v>139</v>
      </c>
    </row>
    <row r="85" s="146" customFormat="true" ht="15.75" hidden="false" customHeight="true" outlineLevel="0" collapsed="false">
      <c r="A85" s="157" t="s">
        <v>90</v>
      </c>
      <c r="B85" s="123" t="s">
        <v>226</v>
      </c>
      <c r="C85" s="177"/>
      <c r="D85" s="178"/>
      <c r="E85" s="82" t="n">
        <f aca="false">'EPI''s e Uniformes'!H7</f>
        <v>36.5683333333333</v>
      </c>
    </row>
    <row r="86" s="146" customFormat="true" ht="15.75" hidden="false" customHeight="true" outlineLevel="0" collapsed="false">
      <c r="A86" s="157" t="s">
        <v>94</v>
      </c>
      <c r="B86" s="123" t="s">
        <v>227</v>
      </c>
      <c r="C86" s="177"/>
      <c r="D86" s="178"/>
      <c r="E86" s="82" t="n">
        <v>0</v>
      </c>
    </row>
    <row r="87" s="146" customFormat="true" ht="15.75" hidden="false" customHeight="true" outlineLevel="0" collapsed="false">
      <c r="A87" s="157" t="s">
        <v>131</v>
      </c>
      <c r="B87" s="123" t="s">
        <v>228</v>
      </c>
      <c r="C87" s="177"/>
      <c r="D87" s="178"/>
      <c r="E87" s="82" t="n">
        <v>0</v>
      </c>
    </row>
    <row r="88" s="146" customFormat="true" ht="15.75" hidden="false" customHeight="true" outlineLevel="0" collapsed="false">
      <c r="A88" s="157" t="s">
        <v>153</v>
      </c>
      <c r="B88" s="123" t="s">
        <v>229</v>
      </c>
      <c r="C88" s="177"/>
      <c r="D88" s="178"/>
      <c r="E88" s="82" t="n">
        <v>0</v>
      </c>
    </row>
    <row r="89" s="146" customFormat="true" ht="15.75" hidden="false" customHeight="true" outlineLevel="0" collapsed="false">
      <c r="A89" s="124" t="s">
        <v>230</v>
      </c>
      <c r="B89" s="124"/>
      <c r="C89" s="124"/>
      <c r="D89" s="124"/>
      <c r="E89" s="125" t="n">
        <f aca="false">SUM(E85:E88)</f>
        <v>36.5683333333333</v>
      </c>
    </row>
    <row r="90" s="146" customFormat="true" ht="23.25" hidden="false" customHeight="true" outlineLevel="0" collapsed="false">
      <c r="A90" s="126" t="s">
        <v>231</v>
      </c>
      <c r="B90" s="126"/>
      <c r="C90" s="126"/>
      <c r="D90" s="126"/>
      <c r="E90" s="179" t="n">
        <f aca="false">E89+E82+E62+E54+E25</f>
        <v>8018.48495865715</v>
      </c>
    </row>
    <row r="91" s="146" customFormat="true" ht="19.5" hidden="false" customHeight="true" outlineLevel="0" collapsed="false">
      <c r="A91" s="114" t="s">
        <v>232</v>
      </c>
      <c r="B91" s="114"/>
      <c r="C91" s="114"/>
      <c r="D91" s="114"/>
      <c r="E91" s="114"/>
    </row>
    <row r="92" s="146" customFormat="true" ht="30" hidden="false" customHeight="true" outlineLevel="0" collapsed="false">
      <c r="A92" s="140" t="n">
        <v>6</v>
      </c>
      <c r="B92" s="141" t="s">
        <v>233</v>
      </c>
      <c r="C92" s="63" t="s">
        <v>165</v>
      </c>
      <c r="D92" s="63"/>
      <c r="E92" s="143" t="s">
        <v>139</v>
      </c>
    </row>
    <row r="93" s="146" customFormat="true" ht="15.75" hidden="false" customHeight="false" outlineLevel="0" collapsed="false">
      <c r="A93" s="131" t="s">
        <v>90</v>
      </c>
      <c r="B93" s="132" t="s">
        <v>234</v>
      </c>
      <c r="C93" s="180" t="n">
        <f aca="false">E90</f>
        <v>8018.48495865715</v>
      </c>
      <c r="D93" s="134" t="n">
        <v>0.05</v>
      </c>
      <c r="E93" s="82" t="n">
        <f aca="false">+C93*D93</f>
        <v>400.924247932858</v>
      </c>
    </row>
    <row r="94" s="146" customFormat="true" ht="15.75" hidden="false" customHeight="false" outlineLevel="0" collapsed="false">
      <c r="A94" s="131" t="s">
        <v>94</v>
      </c>
      <c r="B94" s="132" t="s">
        <v>235</v>
      </c>
      <c r="C94" s="180" t="n">
        <f aca="false">E90+E93</f>
        <v>8419.40920659001</v>
      </c>
      <c r="D94" s="134" t="n">
        <v>0.1</v>
      </c>
      <c r="E94" s="82" t="n">
        <f aca="false">D94*C94</f>
        <v>841.940920659001</v>
      </c>
    </row>
    <row r="95" s="146" customFormat="true" ht="30.75" hidden="false" customHeight="true" outlineLevel="0" collapsed="false">
      <c r="A95" s="131"/>
      <c r="B95" s="132" t="s">
        <v>236</v>
      </c>
      <c r="C95" s="132"/>
      <c r="D95" s="134" t="n">
        <f aca="false">1-D102</f>
        <v>0.8575</v>
      </c>
      <c r="E95" s="82" t="n">
        <f aca="false">+E90+E93+E94</f>
        <v>9261.35012724901</v>
      </c>
    </row>
    <row r="96" s="146" customFormat="true" ht="15.75" hidden="false" customHeight="false" outlineLevel="0" collapsed="false">
      <c r="A96" s="131"/>
      <c r="B96" s="171"/>
      <c r="C96" s="181"/>
      <c r="D96" s="66"/>
      <c r="E96" s="182" t="n">
        <f aca="false">+E95/D95</f>
        <v>10800.4083116606</v>
      </c>
    </row>
    <row r="97" s="146" customFormat="true" ht="15.75" hidden="false" customHeight="false" outlineLevel="0" collapsed="false">
      <c r="A97" s="131" t="s">
        <v>131</v>
      </c>
      <c r="B97" s="171" t="s">
        <v>237</v>
      </c>
      <c r="C97" s="181"/>
      <c r="D97" s="183" t="n">
        <f aca="false">D99+D100+D101</f>
        <v>0.1425</v>
      </c>
      <c r="E97" s="182"/>
    </row>
    <row r="98" s="146" customFormat="true" ht="15.75" hidden="false" customHeight="false" outlineLevel="0" collapsed="false">
      <c r="A98" s="131" t="s">
        <v>238</v>
      </c>
      <c r="B98" s="171" t="s">
        <v>239</v>
      </c>
      <c r="C98" s="171"/>
      <c r="D98" s="183" t="n">
        <f aca="false">D99+D100</f>
        <v>0.0925</v>
      </c>
      <c r="E98" s="82"/>
    </row>
    <row r="99" s="146" customFormat="true" ht="15.75" hidden="false" customHeight="false" outlineLevel="0" collapsed="false">
      <c r="A99" s="131" t="s">
        <v>240</v>
      </c>
      <c r="B99" s="132" t="s">
        <v>241</v>
      </c>
      <c r="C99" s="81" t="n">
        <f aca="false">E96</f>
        <v>10800.4083116606</v>
      </c>
      <c r="D99" s="134" t="n">
        <v>0.0165</v>
      </c>
      <c r="E99" s="82" t="n">
        <f aca="false">C99*D99</f>
        <v>178.206737142401</v>
      </c>
    </row>
    <row r="100" s="146" customFormat="true" ht="15.75" hidden="false" customHeight="false" outlineLevel="0" collapsed="false">
      <c r="A100" s="131" t="s">
        <v>242</v>
      </c>
      <c r="B100" s="132" t="s">
        <v>243</v>
      </c>
      <c r="C100" s="81" t="n">
        <f aca="false">E96</f>
        <v>10800.4083116606</v>
      </c>
      <c r="D100" s="134" t="n">
        <v>0.076</v>
      </c>
      <c r="E100" s="82" t="n">
        <f aca="false">+C100*D100</f>
        <v>820.831031686209</v>
      </c>
    </row>
    <row r="101" s="146" customFormat="true" ht="15.75" hidden="false" customHeight="false" outlineLevel="0" collapsed="false">
      <c r="A101" s="131" t="s">
        <v>244</v>
      </c>
      <c r="B101" s="132" t="s">
        <v>245</v>
      </c>
      <c r="C101" s="81" t="n">
        <f aca="false">E96</f>
        <v>10800.4083116606</v>
      </c>
      <c r="D101" s="134" t="n">
        <v>0.05</v>
      </c>
      <c r="E101" s="82" t="n">
        <f aca="false">C101*D101</f>
        <v>540.020415583032</v>
      </c>
    </row>
    <row r="102" s="146" customFormat="true" ht="15.75" hidden="false" customHeight="false" outlineLevel="0" collapsed="false">
      <c r="A102" s="140"/>
      <c r="B102" s="184" t="s">
        <v>246</v>
      </c>
      <c r="C102" s="184"/>
      <c r="D102" s="185" t="n">
        <f aca="false">D97</f>
        <v>0.1425</v>
      </c>
      <c r="E102" s="82" t="n">
        <f aca="false">SUM(E99:E101)</f>
        <v>1539.05818441164</v>
      </c>
    </row>
    <row r="103" s="146" customFormat="true" ht="15.75" hidden="false" customHeight="true" outlineLevel="0" collapsed="false">
      <c r="A103" s="136" t="s">
        <v>247</v>
      </c>
      <c r="B103" s="136"/>
      <c r="C103" s="136"/>
      <c r="D103" s="136"/>
      <c r="E103" s="138" t="n">
        <f aca="false">+E93+E94+E102</f>
        <v>2781.9233530035</v>
      </c>
    </row>
    <row r="104" s="146" customFormat="true" ht="15.75" hidden="false" customHeight="true" outlineLevel="0" collapsed="false">
      <c r="A104" s="186" t="s">
        <v>248</v>
      </c>
      <c r="B104" s="186"/>
      <c r="C104" s="186"/>
      <c r="D104" s="186"/>
      <c r="E104" s="187" t="s">
        <v>139</v>
      </c>
    </row>
    <row r="105" s="146" customFormat="true" ht="15.75" hidden="false" customHeight="true" outlineLevel="0" collapsed="false">
      <c r="A105" s="131" t="s">
        <v>90</v>
      </c>
      <c r="B105" s="171" t="s">
        <v>249</v>
      </c>
      <c r="C105" s="171"/>
      <c r="D105" s="171"/>
      <c r="E105" s="82" t="n">
        <f aca="false">+E25</f>
        <v>4148.46</v>
      </c>
    </row>
    <row r="106" customFormat="false" ht="15.75" hidden="false" customHeight="true" outlineLevel="0" collapsed="false">
      <c r="A106" s="131" t="s">
        <v>94</v>
      </c>
      <c r="B106" s="171" t="s">
        <v>250</v>
      </c>
      <c r="C106" s="171"/>
      <c r="D106" s="171"/>
      <c r="E106" s="82" t="n">
        <f aca="false">+E54</f>
        <v>3262.41814357467</v>
      </c>
      <c r="F106" s="146"/>
      <c r="G106" s="146"/>
      <c r="H106" s="146"/>
      <c r="I106" s="146"/>
      <c r="J106" s="146"/>
      <c r="K106" s="146"/>
      <c r="L106" s="146"/>
      <c r="M106" s="146"/>
    </row>
    <row r="107" customFormat="false" ht="15.75" hidden="false" customHeight="true" outlineLevel="0" collapsed="false">
      <c r="A107" s="131" t="s">
        <v>131</v>
      </c>
      <c r="B107" s="171" t="s">
        <v>251</v>
      </c>
      <c r="C107" s="171"/>
      <c r="D107" s="171"/>
      <c r="E107" s="82" t="n">
        <f aca="false">E62</f>
        <v>354.480950088115</v>
      </c>
      <c r="F107" s="146"/>
      <c r="G107" s="146"/>
      <c r="H107" s="146"/>
      <c r="I107" s="146"/>
      <c r="J107" s="146"/>
      <c r="K107" s="146"/>
      <c r="L107" s="146"/>
      <c r="M107" s="146"/>
    </row>
    <row r="108" customFormat="false" ht="15.75" hidden="false" customHeight="true" outlineLevel="0" collapsed="false">
      <c r="A108" s="131" t="s">
        <v>153</v>
      </c>
      <c r="B108" s="171" t="s">
        <v>252</v>
      </c>
      <c r="C108" s="171"/>
      <c r="D108" s="171"/>
      <c r="E108" s="82" t="n">
        <f aca="false">E82</f>
        <v>216.557531661034</v>
      </c>
      <c r="F108" s="146"/>
      <c r="G108" s="146"/>
      <c r="H108" s="146"/>
      <c r="I108" s="146"/>
      <c r="J108" s="146"/>
      <c r="K108" s="146"/>
      <c r="L108" s="146"/>
      <c r="M108" s="146"/>
    </row>
    <row r="109" customFormat="false" ht="15.75" hidden="false" customHeight="true" outlineLevel="0" collapsed="false">
      <c r="A109" s="131" t="s">
        <v>96</v>
      </c>
      <c r="B109" s="171" t="s">
        <v>253</v>
      </c>
      <c r="C109" s="171"/>
      <c r="D109" s="171"/>
      <c r="E109" s="82" t="n">
        <f aca="false">E89</f>
        <v>36.5683333333333</v>
      </c>
      <c r="F109" s="146"/>
      <c r="G109" s="146"/>
      <c r="H109" s="146"/>
      <c r="I109" s="146"/>
      <c r="J109" s="146"/>
      <c r="K109" s="146"/>
      <c r="L109" s="146"/>
      <c r="M109" s="146"/>
    </row>
    <row r="110" customFormat="false" ht="15.75" hidden="false" customHeight="true" outlineLevel="0" collapsed="false">
      <c r="A110" s="140" t="s">
        <v>260</v>
      </c>
      <c r="B110" s="140"/>
      <c r="C110" s="140"/>
      <c r="D110" s="140"/>
      <c r="E110" s="188" t="n">
        <f aca="false">SUM(E105:E109)</f>
        <v>8018.48495865715</v>
      </c>
      <c r="F110" s="146"/>
      <c r="G110" s="146"/>
      <c r="H110" s="146"/>
      <c r="I110" s="146"/>
      <c r="J110" s="146"/>
      <c r="K110" s="146"/>
      <c r="L110" s="146"/>
      <c r="M110" s="146"/>
    </row>
    <row r="111" customFormat="false" ht="15.75" hidden="false" customHeight="true" outlineLevel="0" collapsed="false">
      <c r="A111" s="131" t="s">
        <v>158</v>
      </c>
      <c r="B111" s="171" t="s">
        <v>255</v>
      </c>
      <c r="C111" s="171"/>
      <c r="D111" s="171"/>
      <c r="E111" s="82" t="n">
        <f aca="false">+E103</f>
        <v>2781.9233530035</v>
      </c>
      <c r="F111" s="146"/>
      <c r="G111" s="146"/>
      <c r="H111" s="146"/>
      <c r="I111" s="146"/>
      <c r="J111" s="146"/>
      <c r="K111" s="146"/>
      <c r="L111" s="146"/>
      <c r="M111" s="146"/>
    </row>
    <row r="112" customFormat="false" ht="16.5" hidden="false" customHeight="true" outlineLevel="0" collapsed="false">
      <c r="A112" s="189" t="s">
        <v>256</v>
      </c>
      <c r="B112" s="189"/>
      <c r="C112" s="189"/>
      <c r="D112" s="189"/>
      <c r="E112" s="190" t="n">
        <f aca="false">+E110+E111</f>
        <v>10800.4083116606</v>
      </c>
      <c r="F112" s="146"/>
      <c r="G112" s="146"/>
      <c r="H112" s="146"/>
      <c r="I112" s="146"/>
      <c r="J112" s="146"/>
      <c r="K112" s="146"/>
      <c r="L112" s="146"/>
      <c r="M112" s="146"/>
    </row>
    <row r="113" customFormat="false" ht="15.75" hidden="false" customHeight="false" outlineLevel="0" collapsed="false">
      <c r="B113" s="193"/>
    </row>
    <row r="118" customFormat="false" ht="15.75" hidden="false" customHeight="false" outlineLevel="0" collapsed="false">
      <c r="B118" s="97"/>
      <c r="C118" s="97"/>
    </row>
  </sheetData>
  <mergeCells count="56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19"/>
  <sheetViews>
    <sheetView showFormulas="false" showGridLines="true" showRowColHeaders="true" showZeros="true" rightToLeft="false" tabSelected="true" showOutlineSymbols="true" defaultGridColor="true" view="pageBreakPreview" topLeftCell="A28" colorId="64" zoomScale="100" zoomScaleNormal="115" zoomScalePageLayoutView="100" workbookViewId="0">
      <selection pane="topLeft" activeCell="H43" activeCellId="0" sqref="H4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93" width="8.71"/>
    <col collapsed="false" customWidth="true" hidden="false" outlineLevel="0" max="2" min="2" style="94" width="70.71"/>
    <col collapsed="false" customWidth="true" hidden="false" outlineLevel="0" max="3" min="3" style="94" width="12.71"/>
    <col collapsed="false" customWidth="true" hidden="false" outlineLevel="0" max="4" min="4" style="95" width="8.71"/>
    <col collapsed="false" customWidth="true" hidden="false" outlineLevel="0" max="5" min="5" style="96" width="12.71"/>
    <col collapsed="false" customWidth="false" hidden="false" outlineLevel="0" max="16384" min="6" style="97" width="9.14"/>
  </cols>
  <sheetData>
    <row r="1" s="99" customFormat="true" ht="15.75" hidden="false" customHeight="false" outlineLevel="0" collapsed="false">
      <c r="A1" s="98"/>
      <c r="B1" s="98"/>
      <c r="C1" s="98"/>
      <c r="D1" s="98"/>
      <c r="E1" s="98"/>
      <c r="F1" s="97"/>
      <c r="G1" s="97"/>
      <c r="H1" s="97"/>
      <c r="I1" s="97"/>
      <c r="J1" s="97"/>
      <c r="K1" s="97"/>
      <c r="L1" s="97"/>
      <c r="M1" s="97"/>
    </row>
    <row r="2" s="99" customFormat="true" ht="16.5" hidden="false" customHeight="true" outlineLevel="0" collapsed="false">
      <c r="A2" s="100"/>
      <c r="B2" s="100"/>
      <c r="C2" s="100"/>
      <c r="D2" s="100"/>
      <c r="E2" s="100"/>
    </row>
    <row r="3" s="99" customFormat="true" ht="15.75" hidden="false" customHeight="false" outlineLevel="0" collapsed="false">
      <c r="A3" s="101" t="s">
        <v>127</v>
      </c>
      <c r="B3" s="101"/>
      <c r="C3" s="101"/>
      <c r="D3" s="101"/>
      <c r="E3" s="101"/>
    </row>
    <row r="4" s="99" customFormat="true" ht="15" hidden="false" customHeight="true" outlineLevel="0" collapsed="false">
      <c r="A4" s="102" t="s">
        <v>90</v>
      </c>
      <c r="B4" s="103" t="s">
        <v>128</v>
      </c>
      <c r="C4" s="104" t="n">
        <v>2025</v>
      </c>
      <c r="D4" s="104"/>
      <c r="E4" s="104"/>
    </row>
    <row r="5" s="99" customFormat="true" ht="75" hidden="false" customHeight="true" outlineLevel="0" collapsed="false">
      <c r="A5" s="102" t="s">
        <v>94</v>
      </c>
      <c r="B5" s="103" t="s">
        <v>129</v>
      </c>
      <c r="C5" s="105" t="s">
        <v>130</v>
      </c>
      <c r="D5" s="105"/>
      <c r="E5" s="105"/>
    </row>
    <row r="6" s="99" customFormat="true" ht="15.75" hidden="false" customHeight="true" outlineLevel="0" collapsed="false">
      <c r="A6" s="102" t="s">
        <v>131</v>
      </c>
      <c r="B6" s="103" t="s">
        <v>132</v>
      </c>
      <c r="C6" s="105"/>
      <c r="D6" s="105"/>
      <c r="E6" s="105"/>
    </row>
    <row r="7" s="99" customFormat="true" ht="15.75" hidden="false" customHeight="false" outlineLevel="0" collapsed="false">
      <c r="A7" s="102"/>
      <c r="B7" s="103" t="s">
        <v>134</v>
      </c>
      <c r="C7" s="105" t="n">
        <v>12</v>
      </c>
      <c r="D7" s="105"/>
      <c r="E7" s="105"/>
    </row>
    <row r="8" s="99" customFormat="true" ht="15.75" hidden="false" customHeight="false" outlineLevel="0" collapsed="false">
      <c r="A8" s="101" t="s">
        <v>135</v>
      </c>
      <c r="B8" s="101"/>
      <c r="C8" s="101"/>
      <c r="D8" s="101"/>
      <c r="E8" s="101"/>
      <c r="M8" s="192"/>
    </row>
    <row r="9" s="99" customFormat="true" ht="15.75" hidden="false" customHeight="false" outlineLevel="0" collapsed="false">
      <c r="A9" s="101" t="s">
        <v>136</v>
      </c>
      <c r="B9" s="101"/>
      <c r="C9" s="101"/>
      <c r="D9" s="101"/>
      <c r="E9" s="101"/>
    </row>
    <row r="10" s="99" customFormat="true" ht="15.75" hidden="false" customHeight="true" outlineLevel="0" collapsed="false">
      <c r="A10" s="101" t="s">
        <v>137</v>
      </c>
      <c r="B10" s="101"/>
      <c r="C10" s="101"/>
      <c r="D10" s="101"/>
      <c r="E10" s="101"/>
    </row>
    <row r="11" s="99" customFormat="true" ht="30" hidden="false" customHeight="true" outlineLevel="0" collapsed="false">
      <c r="A11" s="106" t="s">
        <v>138</v>
      </c>
      <c r="B11" s="106"/>
      <c r="C11" s="106"/>
      <c r="D11" s="106"/>
      <c r="E11" s="107" t="s">
        <v>139</v>
      </c>
    </row>
    <row r="12" s="99" customFormat="true" ht="75" hidden="false" customHeight="true" outlineLevel="0" collapsed="false">
      <c r="A12" s="102" t="n">
        <v>1</v>
      </c>
      <c r="B12" s="108" t="s">
        <v>140</v>
      </c>
      <c r="C12" s="109" t="s">
        <v>141</v>
      </c>
      <c r="D12" s="109"/>
      <c r="E12" s="109"/>
    </row>
    <row r="13" s="99" customFormat="true" ht="30" hidden="false" customHeight="true" outlineLevel="0" collapsed="false">
      <c r="A13" s="102" t="n">
        <v>2</v>
      </c>
      <c r="B13" s="108" t="s">
        <v>142</v>
      </c>
      <c r="C13" s="110" t="n">
        <v>3960</v>
      </c>
      <c r="D13" s="110"/>
      <c r="E13" s="110"/>
    </row>
    <row r="14" s="111" customFormat="true" ht="15.75" hidden="false" customHeight="true" outlineLevel="0" collapsed="false">
      <c r="A14" s="102" t="n">
        <v>3</v>
      </c>
      <c r="B14" s="108" t="s">
        <v>143</v>
      </c>
      <c r="C14" s="109" t="s">
        <v>125</v>
      </c>
      <c r="D14" s="109"/>
      <c r="E14" s="109"/>
      <c r="F14" s="99"/>
      <c r="G14" s="99"/>
      <c r="H14" s="99"/>
      <c r="I14" s="99"/>
      <c r="J14" s="99"/>
      <c r="K14" s="99"/>
      <c r="L14" s="99"/>
      <c r="M14" s="99"/>
    </row>
    <row r="15" s="111" customFormat="true" ht="15.75" hidden="false" customHeight="false" outlineLevel="0" collapsed="false">
      <c r="A15" s="102" t="n">
        <v>4</v>
      </c>
      <c r="B15" s="112" t="s">
        <v>145</v>
      </c>
      <c r="C15" s="194" t="n">
        <v>2025</v>
      </c>
      <c r="D15" s="194"/>
      <c r="E15" s="194"/>
      <c r="F15" s="99"/>
      <c r="G15" s="99"/>
      <c r="H15" s="99"/>
      <c r="I15" s="99"/>
      <c r="J15" s="99"/>
      <c r="K15" s="99"/>
      <c r="L15" s="99"/>
      <c r="M15" s="99"/>
    </row>
    <row r="16" s="99" customFormat="true" ht="15.75" hidden="false" customHeight="false" outlineLevel="0" collapsed="false">
      <c r="A16" s="114" t="s">
        <v>146</v>
      </c>
      <c r="B16" s="114"/>
      <c r="C16" s="114"/>
      <c r="D16" s="114"/>
      <c r="E16" s="114"/>
      <c r="F16" s="111"/>
      <c r="G16" s="111"/>
      <c r="H16" s="111"/>
      <c r="I16" s="111"/>
      <c r="J16" s="111"/>
      <c r="K16" s="111"/>
      <c r="L16" s="111"/>
      <c r="M16" s="111"/>
    </row>
    <row r="17" s="99" customFormat="true" ht="15.75" hidden="false" customHeight="true" outlineLevel="0" collapsed="false">
      <c r="A17" s="106" t="n">
        <v>1</v>
      </c>
      <c r="B17" s="115" t="s">
        <v>147</v>
      </c>
      <c r="C17" s="115"/>
      <c r="D17" s="115"/>
      <c r="E17" s="116" t="s">
        <v>139</v>
      </c>
      <c r="F17" s="111"/>
      <c r="G17" s="111"/>
      <c r="H17" s="111"/>
      <c r="I17" s="111"/>
      <c r="J17" s="111"/>
      <c r="K17" s="111"/>
      <c r="L17" s="111"/>
      <c r="M17" s="111"/>
    </row>
    <row r="18" s="99" customFormat="true" ht="15.75" hidden="false" customHeight="true" outlineLevel="0" collapsed="false">
      <c r="A18" s="117" t="s">
        <v>90</v>
      </c>
      <c r="B18" s="118" t="s">
        <v>148</v>
      </c>
      <c r="C18" s="112"/>
      <c r="D18" s="112"/>
      <c r="E18" s="119" t="n">
        <f aca="false">C13</f>
        <v>3960</v>
      </c>
    </row>
    <row r="19" s="111" customFormat="true" ht="15.75" hidden="false" customHeight="true" outlineLevel="0" collapsed="false">
      <c r="A19" s="117" t="s">
        <v>94</v>
      </c>
      <c r="B19" s="118" t="s">
        <v>149</v>
      </c>
      <c r="C19" s="120" t="s">
        <v>150</v>
      </c>
      <c r="D19" s="120"/>
      <c r="E19" s="119"/>
      <c r="F19" s="99"/>
      <c r="G19" s="99"/>
      <c r="H19" s="99"/>
      <c r="I19" s="99"/>
      <c r="J19" s="99"/>
      <c r="K19" s="99"/>
      <c r="L19" s="99"/>
      <c r="M19" s="99"/>
    </row>
    <row r="20" s="111" customFormat="true" ht="15.75" hidden="false" customHeight="true" outlineLevel="0" collapsed="false">
      <c r="A20" s="117" t="s">
        <v>131</v>
      </c>
      <c r="B20" s="118" t="s">
        <v>151</v>
      </c>
      <c r="C20" s="195"/>
      <c r="D20" s="195"/>
      <c r="E20" s="119"/>
      <c r="F20" s="99"/>
      <c r="G20" s="99"/>
      <c r="H20" s="99"/>
      <c r="I20" s="99"/>
      <c r="J20" s="99"/>
      <c r="K20" s="99"/>
      <c r="L20" s="99"/>
      <c r="M20" s="99"/>
    </row>
    <row r="21" s="99" customFormat="true" ht="15.75" hidden="false" customHeight="true" outlineLevel="0" collapsed="false">
      <c r="A21" s="117" t="s">
        <v>153</v>
      </c>
      <c r="B21" s="118" t="s">
        <v>154</v>
      </c>
      <c r="C21" s="120" t="s">
        <v>155</v>
      </c>
      <c r="D21" s="120"/>
      <c r="E21" s="119"/>
    </row>
    <row r="22" s="99" customFormat="true" ht="15.75" hidden="false" customHeight="true" outlineLevel="0" collapsed="false">
      <c r="A22" s="117" t="s">
        <v>96</v>
      </c>
      <c r="B22" s="118" t="s">
        <v>156</v>
      </c>
      <c r="C22" s="120" t="s">
        <v>157</v>
      </c>
      <c r="D22" s="120"/>
      <c r="E22" s="119"/>
    </row>
    <row r="23" s="99" customFormat="true" ht="15.75" hidden="false" customHeight="false" outlineLevel="0" collapsed="false">
      <c r="A23" s="117" t="s">
        <v>158</v>
      </c>
      <c r="B23" s="118" t="s">
        <v>159</v>
      </c>
      <c r="C23" s="122"/>
      <c r="D23" s="122"/>
      <c r="E23" s="119"/>
    </row>
    <row r="24" customFormat="false" ht="15.75" hidden="false" customHeight="true" outlineLevel="0" collapsed="false">
      <c r="A24" s="117" t="s">
        <v>160</v>
      </c>
      <c r="B24" s="123" t="s">
        <v>161</v>
      </c>
      <c r="C24" s="122"/>
      <c r="D24" s="122"/>
      <c r="E24" s="119"/>
      <c r="F24" s="99"/>
      <c r="G24" s="99"/>
      <c r="H24" s="99"/>
      <c r="I24" s="99"/>
      <c r="J24" s="99"/>
      <c r="K24" s="99"/>
      <c r="L24" s="99"/>
      <c r="M24" s="99"/>
    </row>
    <row r="25" customFormat="false" ht="15.75" hidden="false" customHeight="true" outlineLevel="0" collapsed="false">
      <c r="A25" s="124" t="s">
        <v>162</v>
      </c>
      <c r="B25" s="124"/>
      <c r="C25" s="124"/>
      <c r="D25" s="124"/>
      <c r="E25" s="125" t="n">
        <f aca="false">SUM(E18:E24)</f>
        <v>3960</v>
      </c>
      <c r="F25" s="111"/>
      <c r="G25" s="111"/>
      <c r="H25" s="111"/>
      <c r="I25" s="111"/>
      <c r="J25" s="111"/>
      <c r="K25" s="111"/>
      <c r="L25" s="111"/>
      <c r="M25" s="111"/>
    </row>
    <row r="26" customFormat="false" ht="15.75" hidden="false" customHeight="false" outlineLevel="0" collapsed="false">
      <c r="A26" s="114" t="s">
        <v>163</v>
      </c>
      <c r="B26" s="114"/>
      <c r="C26" s="114"/>
      <c r="D26" s="114"/>
      <c r="E26" s="114"/>
      <c r="F26" s="111"/>
      <c r="G26" s="111"/>
      <c r="H26" s="111"/>
      <c r="I26" s="111"/>
      <c r="J26" s="111"/>
      <c r="K26" s="111"/>
      <c r="L26" s="111"/>
      <c r="M26" s="111"/>
    </row>
    <row r="27" customFormat="false" ht="30" hidden="false" customHeight="true" outlineLevel="0" collapsed="false">
      <c r="A27" s="126" t="n">
        <v>2</v>
      </c>
      <c r="B27" s="127" t="s">
        <v>164</v>
      </c>
      <c r="C27" s="128" t="s">
        <v>165</v>
      </c>
      <c r="D27" s="129"/>
      <c r="E27" s="130" t="s">
        <v>139</v>
      </c>
      <c r="F27" s="99"/>
      <c r="G27" s="99"/>
      <c r="H27" s="99"/>
      <c r="I27" s="99"/>
      <c r="J27" s="99"/>
      <c r="K27" s="99"/>
      <c r="L27" s="99"/>
      <c r="M27" s="99"/>
    </row>
    <row r="28" customFormat="false" ht="15.75" hidden="false" customHeight="false" outlineLevel="0" collapsed="false">
      <c r="A28" s="131" t="s">
        <v>90</v>
      </c>
      <c r="B28" s="132" t="s">
        <v>166</v>
      </c>
      <c r="C28" s="133" t="n">
        <f aca="false">E25</f>
        <v>3960</v>
      </c>
      <c r="D28" s="134" t="n">
        <f aca="false">1/12</f>
        <v>0.0833333333333333</v>
      </c>
      <c r="E28" s="82" t="n">
        <f aca="false">(E25)*D28</f>
        <v>330</v>
      </c>
      <c r="F28" s="99"/>
      <c r="G28" s="99"/>
      <c r="H28" s="99"/>
      <c r="I28" s="99"/>
      <c r="J28" s="99"/>
      <c r="K28" s="99"/>
      <c r="L28" s="99"/>
      <c r="M28" s="99"/>
    </row>
    <row r="29" customFormat="false" ht="15.75" hidden="false" customHeight="false" outlineLevel="0" collapsed="false">
      <c r="A29" s="131" t="s">
        <v>94</v>
      </c>
      <c r="B29" s="135" t="s">
        <v>261</v>
      </c>
      <c r="C29" s="133" t="n">
        <f aca="false">E25</f>
        <v>3960</v>
      </c>
      <c r="D29" s="134" t="n">
        <v>0.1111</v>
      </c>
      <c r="E29" s="82" t="n">
        <f aca="false">(E25)*D29</f>
        <v>439.956</v>
      </c>
      <c r="F29" s="99"/>
      <c r="G29" s="99"/>
      <c r="H29" s="99"/>
      <c r="I29" s="99"/>
      <c r="J29" s="99"/>
      <c r="K29" s="99"/>
      <c r="L29" s="99"/>
      <c r="M29" s="99"/>
    </row>
    <row r="30" customFormat="false" ht="15.75" hidden="false" customHeight="true" outlineLevel="0" collapsed="false">
      <c r="A30" s="136" t="s">
        <v>168</v>
      </c>
      <c r="B30" s="136"/>
      <c r="C30" s="136"/>
      <c r="D30" s="137" t="n">
        <f aca="false">SUM(D28:D29)</f>
        <v>0.194433333333333</v>
      </c>
      <c r="E30" s="138" t="n">
        <f aca="false">SUM(E28:E29)</f>
        <v>769.956</v>
      </c>
    </row>
    <row r="31" customFormat="false" ht="30" hidden="false" customHeight="true" outlineLevel="0" collapsed="false">
      <c r="A31" s="139" t="s">
        <v>169</v>
      </c>
      <c r="B31" s="139"/>
      <c r="C31" s="139"/>
      <c r="D31" s="139"/>
      <c r="E31" s="139"/>
    </row>
    <row r="32" customFormat="false" ht="30" hidden="false" customHeight="true" outlineLevel="0" collapsed="false">
      <c r="A32" s="140" t="s">
        <v>170</v>
      </c>
      <c r="B32" s="141" t="s">
        <v>171</v>
      </c>
      <c r="C32" s="63" t="s">
        <v>165</v>
      </c>
      <c r="D32" s="142"/>
      <c r="E32" s="143" t="s">
        <v>139</v>
      </c>
    </row>
    <row r="33" customFormat="false" ht="15.75" hidden="false" customHeight="false" outlineLevel="0" collapsed="false">
      <c r="A33" s="131" t="s">
        <v>90</v>
      </c>
      <c r="B33" s="144" t="s">
        <v>172</v>
      </c>
      <c r="C33" s="133" t="n">
        <f aca="false">E$25+E$30</f>
        <v>4729.956</v>
      </c>
      <c r="D33" s="134" t="n">
        <v>0.2</v>
      </c>
      <c r="E33" s="82" t="n">
        <f aca="false">C33*D33</f>
        <v>945.9912</v>
      </c>
    </row>
    <row r="34" s="146" customFormat="true" ht="15.75" hidden="false" customHeight="false" outlineLevel="0" collapsed="false">
      <c r="A34" s="131" t="s">
        <v>94</v>
      </c>
      <c r="B34" s="144" t="s">
        <v>173</v>
      </c>
      <c r="C34" s="133" t="n">
        <f aca="false">E$25+E$30</f>
        <v>4729.956</v>
      </c>
      <c r="D34" s="145" t="n">
        <v>0.025</v>
      </c>
      <c r="E34" s="82" t="n">
        <f aca="false">C34*D34</f>
        <v>118.2489</v>
      </c>
      <c r="F34" s="97"/>
      <c r="G34" s="97"/>
      <c r="H34" s="97"/>
      <c r="I34" s="97"/>
      <c r="J34" s="97"/>
      <c r="K34" s="97"/>
      <c r="L34" s="97"/>
      <c r="M34" s="97"/>
    </row>
    <row r="35" s="146" customFormat="true" ht="35.05" hidden="false" customHeight="false" outlineLevel="0" collapsed="false">
      <c r="A35" s="131" t="s">
        <v>131</v>
      </c>
      <c r="B35" s="147" t="s">
        <v>174</v>
      </c>
      <c r="C35" s="133" t="n">
        <f aca="false">E$25+E$30</f>
        <v>4729.956</v>
      </c>
      <c r="D35" s="145" t="n">
        <v>0.03</v>
      </c>
      <c r="E35" s="82" t="n">
        <f aca="false">C35*D35</f>
        <v>141.89868</v>
      </c>
      <c r="F35" s="97"/>
      <c r="G35" s="97"/>
      <c r="H35" s="97"/>
      <c r="I35" s="97"/>
      <c r="J35" s="97"/>
      <c r="K35" s="97"/>
      <c r="L35" s="97"/>
      <c r="M35" s="97"/>
    </row>
    <row r="36" s="146" customFormat="true" ht="15.75" hidden="false" customHeight="false" outlineLevel="0" collapsed="false">
      <c r="A36" s="131" t="s">
        <v>153</v>
      </c>
      <c r="B36" s="144" t="s">
        <v>175</v>
      </c>
      <c r="C36" s="133" t="n">
        <f aca="false">E$25+E$30</f>
        <v>4729.956</v>
      </c>
      <c r="D36" s="145" t="n">
        <v>0.015</v>
      </c>
      <c r="E36" s="82" t="n">
        <f aca="false">C36*D36</f>
        <v>70.94934</v>
      </c>
      <c r="F36" s="97"/>
      <c r="G36" s="97"/>
      <c r="H36" s="97"/>
      <c r="I36" s="97"/>
      <c r="J36" s="97"/>
      <c r="K36" s="97"/>
      <c r="L36" s="97"/>
      <c r="M36" s="97"/>
    </row>
    <row r="37" s="146" customFormat="true" ht="15.75" hidden="false" customHeight="false" outlineLevel="0" collapsed="false">
      <c r="A37" s="131" t="s">
        <v>96</v>
      </c>
      <c r="B37" s="144" t="s">
        <v>176</v>
      </c>
      <c r="C37" s="133" t="n">
        <f aca="false">E$25+E$30</f>
        <v>4729.956</v>
      </c>
      <c r="D37" s="145" t="n">
        <v>0.01</v>
      </c>
      <c r="E37" s="82" t="n">
        <f aca="false">C37*D37</f>
        <v>47.29956</v>
      </c>
      <c r="F37" s="97"/>
      <c r="G37" s="97"/>
      <c r="H37" s="97"/>
      <c r="I37" s="97"/>
      <c r="J37" s="97"/>
      <c r="K37" s="97"/>
      <c r="L37" s="97"/>
      <c r="M37" s="97"/>
    </row>
    <row r="38" s="146" customFormat="true" ht="15.75" hidden="false" customHeight="false" outlineLevel="0" collapsed="false">
      <c r="A38" s="131" t="s">
        <v>158</v>
      </c>
      <c r="B38" s="148" t="s">
        <v>177</v>
      </c>
      <c r="C38" s="133" t="n">
        <f aca="false">E$25+E$30</f>
        <v>4729.956</v>
      </c>
      <c r="D38" s="145" t="n">
        <v>0.006</v>
      </c>
      <c r="E38" s="82" t="n">
        <f aca="false">C38*D38</f>
        <v>28.379736</v>
      </c>
      <c r="F38" s="97"/>
      <c r="G38" s="97"/>
      <c r="H38" s="97"/>
      <c r="I38" s="97"/>
      <c r="J38" s="97"/>
      <c r="K38" s="97"/>
      <c r="L38" s="97"/>
      <c r="M38" s="97"/>
    </row>
    <row r="39" s="146" customFormat="true" ht="23.85" hidden="false" customHeight="false" outlineLevel="0" collapsed="false">
      <c r="A39" s="131" t="s">
        <v>160</v>
      </c>
      <c r="B39" s="147" t="s">
        <v>178</v>
      </c>
      <c r="C39" s="133" t="n">
        <f aca="false">E$25+E$30</f>
        <v>4729.956</v>
      </c>
      <c r="D39" s="145" t="n">
        <v>0.002</v>
      </c>
      <c r="E39" s="82" t="n">
        <f aca="false">C39*D39</f>
        <v>9.459912</v>
      </c>
      <c r="F39" s="97"/>
      <c r="G39" s="97"/>
      <c r="H39" s="97"/>
      <c r="I39" s="97"/>
      <c r="J39" s="97"/>
      <c r="K39" s="97"/>
      <c r="L39" s="97"/>
      <c r="M39" s="97"/>
    </row>
    <row r="40" s="146" customFormat="true" ht="15.75" hidden="false" customHeight="false" outlineLevel="0" collapsed="false">
      <c r="A40" s="131" t="s">
        <v>179</v>
      </c>
      <c r="B40" s="144" t="s">
        <v>180</v>
      </c>
      <c r="C40" s="133" t="n">
        <f aca="false">E$25+E$30</f>
        <v>4729.956</v>
      </c>
      <c r="D40" s="145" t="n">
        <v>0.08</v>
      </c>
      <c r="E40" s="82" t="n">
        <f aca="false">C40*D40</f>
        <v>378.39648</v>
      </c>
      <c r="F40" s="97"/>
      <c r="G40" s="97"/>
      <c r="H40" s="97"/>
      <c r="I40" s="97"/>
      <c r="J40" s="97"/>
      <c r="K40" s="97"/>
      <c r="L40" s="97"/>
      <c r="M40" s="97"/>
    </row>
    <row r="41" s="146" customFormat="true" ht="15.75" hidden="false" customHeight="true" outlineLevel="0" collapsed="false">
      <c r="A41" s="136" t="s">
        <v>168</v>
      </c>
      <c r="B41" s="136"/>
      <c r="C41" s="136"/>
      <c r="D41" s="149" t="n">
        <f aca="false">SUM(D33:D40)</f>
        <v>0.368</v>
      </c>
      <c r="E41" s="138" t="n">
        <f aca="false">SUM(E33:E40)</f>
        <v>1740.623808</v>
      </c>
    </row>
    <row r="42" s="146" customFormat="true" ht="15.75" hidden="false" customHeight="false" outlineLevel="0" collapsed="false">
      <c r="A42" s="150" t="s">
        <v>181</v>
      </c>
      <c r="B42" s="150"/>
      <c r="C42" s="150"/>
      <c r="D42" s="150"/>
      <c r="E42" s="150"/>
    </row>
    <row r="43" s="146" customFormat="true" ht="30" hidden="false" customHeight="true" outlineLevel="0" collapsed="false">
      <c r="A43" s="151" t="s">
        <v>182</v>
      </c>
      <c r="B43" s="152" t="s">
        <v>183</v>
      </c>
      <c r="C43" s="128" t="s">
        <v>165</v>
      </c>
      <c r="D43" s="129"/>
      <c r="E43" s="130" t="s">
        <v>139</v>
      </c>
    </row>
    <row r="44" s="146" customFormat="true" ht="15.75" hidden="false" customHeight="false" outlineLevel="0" collapsed="false">
      <c r="A44" s="153" t="s">
        <v>90</v>
      </c>
      <c r="B44" s="196" t="s">
        <v>184</v>
      </c>
      <c r="C44" s="197"/>
      <c r="D44" s="196"/>
      <c r="E44" s="198"/>
    </row>
    <row r="45" s="146" customFormat="true" ht="15.75" hidden="false" customHeight="false" outlineLevel="0" collapsed="false">
      <c r="A45" s="157" t="s">
        <v>94</v>
      </c>
      <c r="B45" s="123" t="s">
        <v>185</v>
      </c>
      <c r="C45" s="199"/>
      <c r="D45" s="122"/>
      <c r="E45" s="119"/>
    </row>
    <row r="46" s="146" customFormat="true" ht="15.75" hidden="false" customHeight="false" outlineLevel="0" collapsed="false">
      <c r="A46" s="131" t="s">
        <v>131</v>
      </c>
      <c r="B46" s="132" t="s">
        <v>186</v>
      </c>
      <c r="C46" s="159"/>
      <c r="D46" s="160"/>
      <c r="E46" s="82"/>
    </row>
    <row r="47" s="146" customFormat="true" ht="15.75" hidden="false" customHeight="false" outlineLevel="0" collapsed="false">
      <c r="A47" s="131" t="s">
        <v>153</v>
      </c>
      <c r="B47" s="132" t="s">
        <v>187</v>
      </c>
      <c r="C47" s="159"/>
      <c r="D47" s="160"/>
      <c r="E47" s="82"/>
    </row>
    <row r="48" s="146" customFormat="true" ht="15.75" hidden="false" customHeight="false" outlineLevel="0" collapsed="false">
      <c r="A48" s="131" t="s">
        <v>96</v>
      </c>
      <c r="B48" s="132" t="s">
        <v>189</v>
      </c>
      <c r="C48" s="66"/>
      <c r="D48" s="160"/>
      <c r="E48" s="82"/>
    </row>
    <row r="49" s="146" customFormat="true" ht="15.75" hidden="false" customHeight="true" outlineLevel="0" collapsed="false">
      <c r="A49" s="136" t="s">
        <v>190</v>
      </c>
      <c r="B49" s="136"/>
      <c r="C49" s="136"/>
      <c r="D49" s="136"/>
      <c r="E49" s="138" t="n">
        <f aca="false">SUM(E44:E48)</f>
        <v>0</v>
      </c>
    </row>
    <row r="50" s="146" customFormat="true" ht="15.75" hidden="false" customHeight="true" outlineLevel="0" collapsed="false">
      <c r="A50" s="150" t="s">
        <v>191</v>
      </c>
      <c r="B50" s="150"/>
      <c r="C50" s="150"/>
      <c r="D50" s="150"/>
      <c r="E50" s="150"/>
    </row>
    <row r="51" s="146" customFormat="true" ht="15.75" hidden="false" customHeight="true" outlineLevel="0" collapsed="false">
      <c r="A51" s="106" t="s">
        <v>170</v>
      </c>
      <c r="B51" s="161" t="s">
        <v>192</v>
      </c>
      <c r="C51" s="162"/>
      <c r="D51" s="162"/>
      <c r="E51" s="163" t="n">
        <f aca="false">E30</f>
        <v>769.956</v>
      </c>
    </row>
    <row r="52" s="146" customFormat="true" ht="15.75" hidden="false" customHeight="true" outlineLevel="0" collapsed="false">
      <c r="A52" s="106" t="s">
        <v>193</v>
      </c>
      <c r="B52" s="161" t="s">
        <v>194</v>
      </c>
      <c r="C52" s="162"/>
      <c r="D52" s="162"/>
      <c r="E52" s="163" t="n">
        <f aca="false">E41</f>
        <v>1740.623808</v>
      </c>
    </row>
    <row r="53" s="146" customFormat="true" ht="15.75" hidden="false" customHeight="true" outlineLevel="0" collapsed="false">
      <c r="A53" s="106" t="s">
        <v>182</v>
      </c>
      <c r="B53" s="161" t="s">
        <v>195</v>
      </c>
      <c r="C53" s="162"/>
      <c r="D53" s="162"/>
      <c r="E53" s="163" t="n">
        <f aca="false">E49</f>
        <v>0</v>
      </c>
    </row>
    <row r="54" s="146" customFormat="true" ht="15.75" hidden="false" customHeight="true" outlineLevel="0" collapsed="false">
      <c r="A54" s="124" t="s">
        <v>196</v>
      </c>
      <c r="B54" s="124"/>
      <c r="C54" s="124"/>
      <c r="D54" s="124"/>
      <c r="E54" s="125" t="n">
        <f aca="false">SUM(E51:E53)</f>
        <v>2510.579808</v>
      </c>
    </row>
    <row r="55" s="146" customFormat="true" ht="15.75" hidden="false" customHeight="true" outlineLevel="0" collapsed="false">
      <c r="A55" s="114" t="s">
        <v>197</v>
      </c>
      <c r="B55" s="114"/>
      <c r="C55" s="114"/>
      <c r="D55" s="114"/>
      <c r="E55" s="114"/>
    </row>
    <row r="56" s="146" customFormat="true" ht="30" hidden="false" customHeight="true" outlineLevel="0" collapsed="false">
      <c r="A56" s="140" t="s">
        <v>198</v>
      </c>
      <c r="B56" s="141" t="s">
        <v>199</v>
      </c>
      <c r="C56" s="164" t="s">
        <v>165</v>
      </c>
      <c r="D56" s="67"/>
      <c r="E56" s="143" t="s">
        <v>139</v>
      </c>
    </row>
    <row r="57" s="146" customFormat="true" ht="15.75" hidden="false" customHeight="true" outlineLevel="0" collapsed="false">
      <c r="A57" s="131" t="s">
        <v>90</v>
      </c>
      <c r="B57" s="132" t="s">
        <v>200</v>
      </c>
      <c r="C57" s="165" t="n">
        <f aca="false">E$25+E$30</f>
        <v>4729.956</v>
      </c>
      <c r="D57" s="134" t="n">
        <v>0.0046</v>
      </c>
      <c r="E57" s="82" t="n">
        <f aca="false">C57*D57</f>
        <v>21.7577976</v>
      </c>
    </row>
    <row r="58" s="146" customFormat="true" ht="15.75" hidden="false" customHeight="true" outlineLevel="0" collapsed="false">
      <c r="A58" s="131" t="s">
        <v>94</v>
      </c>
      <c r="B58" s="132" t="s">
        <v>201</v>
      </c>
      <c r="C58" s="165" t="n">
        <f aca="false">E$25+E$30</f>
        <v>4729.956</v>
      </c>
      <c r="D58" s="134" t="n">
        <v>0.0004</v>
      </c>
      <c r="E58" s="82" t="n">
        <f aca="false">C58*D58</f>
        <v>1.8919824</v>
      </c>
    </row>
    <row r="59" s="146" customFormat="true" ht="15.75" hidden="false" customHeight="true" outlineLevel="0" collapsed="false">
      <c r="A59" s="131" t="s">
        <v>131</v>
      </c>
      <c r="B59" s="132" t="s">
        <v>202</v>
      </c>
      <c r="C59" s="165" t="n">
        <f aca="false">E$25+E$30</f>
        <v>4729.956</v>
      </c>
      <c r="D59" s="134" t="n">
        <v>0.0194</v>
      </c>
      <c r="E59" s="82" t="n">
        <f aca="false">C59*D59</f>
        <v>91.7611464</v>
      </c>
    </row>
    <row r="60" s="146" customFormat="true" ht="30" hidden="false" customHeight="true" outlineLevel="0" collapsed="false">
      <c r="A60" s="131" t="s">
        <v>153</v>
      </c>
      <c r="B60" s="142" t="s">
        <v>203</v>
      </c>
      <c r="C60" s="165" t="n">
        <f aca="false">E$25+E$30</f>
        <v>4729.956</v>
      </c>
      <c r="D60" s="166" t="n">
        <f aca="false">D41*D59</f>
        <v>0.0071392</v>
      </c>
      <c r="E60" s="82" t="n">
        <f aca="false">C60*D60</f>
        <v>33.7681018752</v>
      </c>
    </row>
    <row r="61" s="146" customFormat="true" ht="32.25" hidden="false" customHeight="true" outlineLevel="0" collapsed="false">
      <c r="A61" s="131" t="s">
        <v>96</v>
      </c>
      <c r="B61" s="132" t="s">
        <v>204</v>
      </c>
      <c r="C61" s="165" t="n">
        <f aca="false">E$25+E$30</f>
        <v>4729.956</v>
      </c>
      <c r="D61" s="134" t="n">
        <v>0.04</v>
      </c>
      <c r="E61" s="82" t="n">
        <f aca="false">C61*D61</f>
        <v>189.19824</v>
      </c>
    </row>
    <row r="62" s="146" customFormat="true" ht="15.75" hidden="false" customHeight="true" outlineLevel="0" collapsed="false">
      <c r="A62" s="124" t="s">
        <v>205</v>
      </c>
      <c r="B62" s="124"/>
      <c r="C62" s="124"/>
      <c r="D62" s="167" t="n">
        <f aca="false">SUM(D57:D61)</f>
        <v>0.0715392</v>
      </c>
      <c r="E62" s="125" t="n">
        <f aca="false">SUM(E57:E61)</f>
        <v>338.3772682752</v>
      </c>
    </row>
    <row r="63" s="146" customFormat="true" ht="15.75" hidden="false" customHeight="true" outlineLevel="0" collapsed="false">
      <c r="A63" s="114" t="s">
        <v>206</v>
      </c>
      <c r="B63" s="114"/>
      <c r="C63" s="114"/>
      <c r="D63" s="114"/>
      <c r="E63" s="114"/>
    </row>
    <row r="64" s="146" customFormat="true" ht="23.85" hidden="false" customHeight="false" outlineLevel="0" collapsed="false">
      <c r="A64" s="140" t="s">
        <v>207</v>
      </c>
      <c r="B64" s="168" t="s">
        <v>208</v>
      </c>
      <c r="C64" s="164" t="s">
        <v>165</v>
      </c>
      <c r="D64" s="169"/>
      <c r="E64" s="143" t="s">
        <v>139</v>
      </c>
    </row>
    <row r="65" s="146" customFormat="true" ht="15.75" hidden="false" customHeight="false" outlineLevel="0" collapsed="false">
      <c r="A65" s="131" t="s">
        <v>90</v>
      </c>
      <c r="B65" s="132" t="s">
        <v>209</v>
      </c>
      <c r="C65" s="170" t="n">
        <f aca="false">E$25+E$54+E$62+E85</f>
        <v>6845.52540960853</v>
      </c>
      <c r="D65" s="134" t="n">
        <f aca="false">D29/12</f>
        <v>0.00925833333333333</v>
      </c>
      <c r="E65" s="82" t="n">
        <f aca="false">C65*D65</f>
        <v>63.378156083959</v>
      </c>
    </row>
    <row r="66" s="146" customFormat="true" ht="15.75" hidden="false" customHeight="false" outlineLevel="0" collapsed="false">
      <c r="A66" s="131" t="s">
        <v>94</v>
      </c>
      <c r="B66" s="132" t="s">
        <v>210</v>
      </c>
      <c r="C66" s="170" t="n">
        <f aca="false">E$25+E$54+E$62+E85</f>
        <v>6845.52540960853</v>
      </c>
      <c r="D66" s="134" t="n">
        <v>0.0139</v>
      </c>
      <c r="E66" s="82" t="n">
        <f aca="false">C66*D66</f>
        <v>95.1528031935586</v>
      </c>
    </row>
    <row r="67" s="146" customFormat="true" ht="15.75" hidden="false" customHeight="false" outlineLevel="0" collapsed="false">
      <c r="A67" s="131" t="s">
        <v>131</v>
      </c>
      <c r="B67" s="132" t="s">
        <v>211</v>
      </c>
      <c r="C67" s="170" t="n">
        <f aca="false">E$25+E$54+E$62+E85</f>
        <v>6845.52540960853</v>
      </c>
      <c r="D67" s="134" t="n">
        <v>0.0013</v>
      </c>
      <c r="E67" s="82" t="n">
        <f aca="false">C67*D67</f>
        <v>8.89918303249109</v>
      </c>
    </row>
    <row r="68" s="146" customFormat="true" ht="15.75" hidden="false" customHeight="false" outlineLevel="0" collapsed="false">
      <c r="A68" s="131" t="s">
        <v>153</v>
      </c>
      <c r="B68" s="132" t="s">
        <v>212</v>
      </c>
      <c r="C68" s="170" t="n">
        <f aca="false">E$25+E$54+E$62+E85</f>
        <v>6845.52540960853</v>
      </c>
      <c r="D68" s="134" t="n">
        <v>0.0002</v>
      </c>
      <c r="E68" s="82" t="n">
        <f aca="false">C68*D68</f>
        <v>1.36910508192171</v>
      </c>
    </row>
    <row r="69" s="146" customFormat="true" ht="15.75" hidden="false" customHeight="false" outlineLevel="0" collapsed="false">
      <c r="A69" s="131" t="s">
        <v>96</v>
      </c>
      <c r="B69" s="132" t="s">
        <v>213</v>
      </c>
      <c r="C69" s="170" t="n">
        <f aca="false">E$25+E$54+E$62+E85</f>
        <v>6845.52540960853</v>
      </c>
      <c r="D69" s="134" t="n">
        <v>0.0028</v>
      </c>
      <c r="E69" s="82" t="n">
        <f aca="false">C69*D69</f>
        <v>19.1674711469039</v>
      </c>
    </row>
    <row r="70" s="146" customFormat="true" ht="15.75" hidden="false" customHeight="false" outlineLevel="0" collapsed="false">
      <c r="A70" s="131" t="s">
        <v>158</v>
      </c>
      <c r="B70" s="132" t="s">
        <v>214</v>
      </c>
      <c r="C70" s="170" t="n">
        <f aca="false">E$25+E$54+E$62+E85</f>
        <v>6845.52540960853</v>
      </c>
      <c r="D70" s="134" t="n">
        <v>0.0003</v>
      </c>
      <c r="E70" s="82" t="n">
        <f aca="false">C70*D70</f>
        <v>2.05365762288256</v>
      </c>
    </row>
    <row r="71" s="146" customFormat="true" ht="15.75" hidden="false" customHeight="false" outlineLevel="0" collapsed="false">
      <c r="A71" s="131" t="s">
        <v>160</v>
      </c>
      <c r="B71" s="171" t="s">
        <v>215</v>
      </c>
      <c r="C71" s="170" t="n">
        <f aca="false">E$25+E$54+E$62+E85</f>
        <v>6845.52540960853</v>
      </c>
      <c r="D71" s="134" t="n">
        <v>0</v>
      </c>
      <c r="E71" s="82" t="n">
        <f aca="false">C71*D71</f>
        <v>0</v>
      </c>
    </row>
    <row r="72" s="146" customFormat="true" ht="15.75" hidden="false" customHeight="true" outlineLevel="0" collapsed="false">
      <c r="A72" s="136" t="s">
        <v>216</v>
      </c>
      <c r="B72" s="136"/>
      <c r="C72" s="136"/>
      <c r="D72" s="172" t="n">
        <f aca="false">SUM(D65:D71)</f>
        <v>0.0277583333333333</v>
      </c>
      <c r="E72" s="138" t="n">
        <f aca="false">SUM(E65:E71)</f>
        <v>190.020376161717</v>
      </c>
    </row>
    <row r="73" s="146" customFormat="true" ht="15.75" hidden="false" customHeight="true" outlineLevel="0" collapsed="false">
      <c r="A73" s="150" t="s">
        <v>217</v>
      </c>
      <c r="B73" s="150"/>
      <c r="C73" s="150"/>
      <c r="D73" s="150"/>
      <c r="E73" s="150"/>
    </row>
    <row r="74" s="146" customFormat="true" ht="15.75" hidden="false" customHeight="false" outlineLevel="0" collapsed="false">
      <c r="A74" s="140"/>
      <c r="B74" s="141" t="s">
        <v>217</v>
      </c>
      <c r="C74" s="142"/>
      <c r="D74" s="142"/>
      <c r="E74" s="143" t="s">
        <v>139</v>
      </c>
    </row>
    <row r="75" s="146" customFormat="true" ht="15.75" hidden="false" customHeight="true" outlineLevel="0" collapsed="false">
      <c r="A75" s="131" t="s">
        <v>90</v>
      </c>
      <c r="B75" s="132" t="s">
        <v>218</v>
      </c>
      <c r="C75" s="159"/>
      <c r="D75" s="134" t="n">
        <v>0</v>
      </c>
      <c r="E75" s="82" t="n">
        <f aca="false">(E$25+E$54+E$62)*D75</f>
        <v>0</v>
      </c>
    </row>
    <row r="76" s="146" customFormat="true" ht="15.75" hidden="false" customHeight="true" outlineLevel="0" collapsed="false">
      <c r="A76" s="136" t="s">
        <v>219</v>
      </c>
      <c r="B76" s="136"/>
      <c r="C76" s="136"/>
      <c r="D76" s="137" t="n">
        <f aca="false">SUM(D75)</f>
        <v>0</v>
      </c>
      <c r="E76" s="138" t="n">
        <f aca="false">SUM(E75)</f>
        <v>0</v>
      </c>
    </row>
    <row r="77" s="146" customFormat="true" ht="15.75" hidden="false" customHeight="true" outlineLevel="0" collapsed="false">
      <c r="A77" s="173" t="s">
        <v>220</v>
      </c>
      <c r="B77" s="173"/>
      <c r="C77" s="173"/>
      <c r="D77" s="173"/>
      <c r="E77" s="173"/>
    </row>
    <row r="78" s="146" customFormat="true" ht="15.75" hidden="false" customHeight="true" outlineLevel="0" collapsed="false">
      <c r="A78" s="140" t="n">
        <v>4</v>
      </c>
      <c r="B78" s="174" t="s">
        <v>221</v>
      </c>
      <c r="C78" s="175"/>
      <c r="D78" s="176"/>
      <c r="E78" s="143" t="s">
        <v>139</v>
      </c>
    </row>
    <row r="79" s="146" customFormat="true" ht="15.75" hidden="false" customHeight="true" outlineLevel="0" collapsed="false">
      <c r="A79" s="131" t="s">
        <v>207</v>
      </c>
      <c r="B79" s="132" t="s">
        <v>208</v>
      </c>
      <c r="C79" s="175"/>
      <c r="D79" s="134" t="n">
        <f aca="false">D72</f>
        <v>0.0277583333333333</v>
      </c>
      <c r="E79" s="82" t="n">
        <f aca="false">E72</f>
        <v>190.020376161717</v>
      </c>
    </row>
    <row r="80" s="146" customFormat="true" ht="15.75" hidden="false" customHeight="true" outlineLevel="0" collapsed="false">
      <c r="A80" s="131" t="s">
        <v>222</v>
      </c>
      <c r="B80" s="132" t="s">
        <v>217</v>
      </c>
      <c r="C80" s="175"/>
      <c r="D80" s="134" t="n">
        <v>0</v>
      </c>
      <c r="E80" s="82" t="n">
        <f aca="false">(D$25+D$53+D$61)*D80</f>
        <v>0</v>
      </c>
    </row>
    <row r="81" s="146" customFormat="true" ht="15.75" hidden="false" customHeight="true" outlineLevel="0" collapsed="false">
      <c r="A81" s="136" t="s">
        <v>168</v>
      </c>
      <c r="B81" s="136"/>
      <c r="C81" s="136"/>
      <c r="D81" s="137" t="n">
        <f aca="false">SUM(D79:D80)</f>
        <v>0.0277583333333333</v>
      </c>
      <c r="E81" s="138" t="n">
        <f aca="false">SUM(E79:E80)</f>
        <v>190.020376161717</v>
      </c>
    </row>
    <row r="82" s="146" customFormat="true" ht="15.75" hidden="false" customHeight="true" outlineLevel="0" collapsed="false">
      <c r="A82" s="124" t="s">
        <v>223</v>
      </c>
      <c r="B82" s="124"/>
      <c r="C82" s="124"/>
      <c r="D82" s="124"/>
      <c r="E82" s="125" t="n">
        <f aca="false">SUM(E72+E76)</f>
        <v>190.020376161717</v>
      </c>
    </row>
    <row r="83" s="146" customFormat="true" ht="15.75" hidden="false" customHeight="true" outlineLevel="0" collapsed="false">
      <c r="A83" s="114" t="s">
        <v>224</v>
      </c>
      <c r="B83" s="114"/>
      <c r="C83" s="114"/>
      <c r="D83" s="114"/>
      <c r="E83" s="114"/>
    </row>
    <row r="84" s="146" customFormat="true" ht="15.75" hidden="false" customHeight="true" outlineLevel="0" collapsed="false">
      <c r="A84" s="140" t="n">
        <v>5</v>
      </c>
      <c r="B84" s="141" t="s">
        <v>225</v>
      </c>
      <c r="C84" s="142"/>
      <c r="D84" s="142"/>
      <c r="E84" s="143" t="s">
        <v>139</v>
      </c>
    </row>
    <row r="85" s="146" customFormat="true" ht="15.75" hidden="false" customHeight="true" outlineLevel="0" collapsed="false">
      <c r="A85" s="157" t="s">
        <v>90</v>
      </c>
      <c r="B85" s="123" t="s">
        <v>226</v>
      </c>
      <c r="C85" s="177"/>
      <c r="D85" s="178"/>
      <c r="E85" s="82" t="n">
        <f aca="false">'EPI''s e Uniformes'!H7</f>
        <v>36.5683333333333</v>
      </c>
    </row>
    <row r="86" s="146" customFormat="true" ht="15.75" hidden="false" customHeight="true" outlineLevel="0" collapsed="false">
      <c r="A86" s="157" t="s">
        <v>94</v>
      </c>
      <c r="B86" s="123" t="s">
        <v>227</v>
      </c>
      <c r="C86" s="177"/>
      <c r="D86" s="178"/>
      <c r="E86" s="82" t="n">
        <v>0</v>
      </c>
    </row>
    <row r="87" s="146" customFormat="true" ht="15.75" hidden="false" customHeight="true" outlineLevel="0" collapsed="false">
      <c r="A87" s="157" t="s">
        <v>131</v>
      </c>
      <c r="B87" s="123" t="s">
        <v>228</v>
      </c>
      <c r="C87" s="177"/>
      <c r="D87" s="178"/>
      <c r="E87" s="82" t="n">
        <v>0</v>
      </c>
    </row>
    <row r="88" s="146" customFormat="true" ht="15.75" hidden="false" customHeight="true" outlineLevel="0" collapsed="false">
      <c r="A88" s="157" t="s">
        <v>153</v>
      </c>
      <c r="B88" s="123" t="s">
        <v>229</v>
      </c>
      <c r="C88" s="177"/>
      <c r="D88" s="178"/>
      <c r="E88" s="82" t="n">
        <v>0</v>
      </c>
    </row>
    <row r="89" s="146" customFormat="true" ht="15.75" hidden="false" customHeight="true" outlineLevel="0" collapsed="false">
      <c r="A89" s="124" t="s">
        <v>230</v>
      </c>
      <c r="B89" s="124"/>
      <c r="C89" s="124"/>
      <c r="D89" s="124"/>
      <c r="E89" s="125" t="n">
        <f aca="false">SUM(E85:E88)</f>
        <v>36.5683333333333</v>
      </c>
    </row>
    <row r="90" s="146" customFormat="true" ht="23.25" hidden="false" customHeight="true" outlineLevel="0" collapsed="false">
      <c r="A90" s="126" t="s">
        <v>231</v>
      </c>
      <c r="B90" s="126"/>
      <c r="C90" s="126"/>
      <c r="D90" s="126"/>
      <c r="E90" s="179" t="n">
        <f aca="false">E89+E82+E62+E54+E25</f>
        <v>7035.54578577025</v>
      </c>
    </row>
    <row r="91" s="146" customFormat="true" ht="19.5" hidden="false" customHeight="true" outlineLevel="0" collapsed="false">
      <c r="A91" s="114" t="s">
        <v>232</v>
      </c>
      <c r="B91" s="114"/>
      <c r="C91" s="114"/>
      <c r="D91" s="114"/>
      <c r="E91" s="114"/>
    </row>
    <row r="92" s="146" customFormat="true" ht="30" hidden="false" customHeight="true" outlineLevel="0" collapsed="false">
      <c r="A92" s="140" t="n">
        <v>6</v>
      </c>
      <c r="B92" s="141" t="s">
        <v>233</v>
      </c>
      <c r="C92" s="63" t="s">
        <v>165</v>
      </c>
      <c r="D92" s="63"/>
      <c r="E92" s="143" t="s">
        <v>139</v>
      </c>
    </row>
    <row r="93" s="146" customFormat="true" ht="15.75" hidden="false" customHeight="false" outlineLevel="0" collapsed="false">
      <c r="A93" s="131" t="s">
        <v>90</v>
      </c>
      <c r="B93" s="132" t="s">
        <v>234</v>
      </c>
      <c r="C93" s="180" t="n">
        <f aca="false">E90</f>
        <v>7035.54578577025</v>
      </c>
      <c r="D93" s="134" t="n">
        <v>0.05</v>
      </c>
      <c r="E93" s="82" t="n">
        <f aca="false">+C93*D93</f>
        <v>351.777289288513</v>
      </c>
    </row>
    <row r="94" s="146" customFormat="true" ht="15.75" hidden="false" customHeight="false" outlineLevel="0" collapsed="false">
      <c r="A94" s="131" t="s">
        <v>94</v>
      </c>
      <c r="B94" s="132" t="s">
        <v>235</v>
      </c>
      <c r="C94" s="180" t="n">
        <f aca="false">E90+E93</f>
        <v>7387.32307505876</v>
      </c>
      <c r="D94" s="134" t="n">
        <v>0.1</v>
      </c>
      <c r="E94" s="82" t="n">
        <f aca="false">D94*C94</f>
        <v>738.732307505876</v>
      </c>
    </row>
    <row r="95" s="146" customFormat="true" ht="30.75" hidden="false" customHeight="true" outlineLevel="0" collapsed="false">
      <c r="A95" s="131"/>
      <c r="B95" s="132" t="s">
        <v>236</v>
      </c>
      <c r="C95" s="132"/>
      <c r="D95" s="134" t="n">
        <f aca="false">1-D102</f>
        <v>0.8575</v>
      </c>
      <c r="E95" s="82" t="n">
        <f aca="false">+E90+E93+E94</f>
        <v>8126.05538256464</v>
      </c>
    </row>
    <row r="96" s="146" customFormat="true" ht="15.75" hidden="false" customHeight="false" outlineLevel="0" collapsed="false">
      <c r="A96" s="131"/>
      <c r="B96" s="171"/>
      <c r="C96" s="181"/>
      <c r="D96" s="66"/>
      <c r="E96" s="182" t="n">
        <f aca="false">+E95/D95</f>
        <v>9476.44942573136</v>
      </c>
    </row>
    <row r="97" s="146" customFormat="true" ht="15.75" hidden="false" customHeight="false" outlineLevel="0" collapsed="false">
      <c r="A97" s="131" t="s">
        <v>131</v>
      </c>
      <c r="B97" s="171" t="s">
        <v>237</v>
      </c>
      <c r="C97" s="181"/>
      <c r="D97" s="183" t="n">
        <f aca="false">D99+D100+D101</f>
        <v>0.1425</v>
      </c>
      <c r="E97" s="182"/>
    </row>
    <row r="98" s="146" customFormat="true" ht="15.75" hidden="false" customHeight="false" outlineLevel="0" collapsed="false">
      <c r="A98" s="131" t="s">
        <v>238</v>
      </c>
      <c r="B98" s="171" t="s">
        <v>239</v>
      </c>
      <c r="C98" s="171"/>
      <c r="D98" s="183" t="n">
        <f aca="false">D99+D100</f>
        <v>0.0925</v>
      </c>
      <c r="E98" s="82"/>
    </row>
    <row r="99" s="146" customFormat="true" ht="15.75" hidden="false" customHeight="false" outlineLevel="0" collapsed="false">
      <c r="A99" s="131" t="s">
        <v>240</v>
      </c>
      <c r="B99" s="132" t="s">
        <v>241</v>
      </c>
      <c r="C99" s="81" t="n">
        <f aca="false">E96</f>
        <v>9476.44942573136</v>
      </c>
      <c r="D99" s="134" t="n">
        <v>0.0165</v>
      </c>
      <c r="E99" s="82" t="n">
        <f aca="false">C99*D99</f>
        <v>156.361415524567</v>
      </c>
    </row>
    <row r="100" s="146" customFormat="true" ht="15.75" hidden="false" customHeight="false" outlineLevel="0" collapsed="false">
      <c r="A100" s="131" t="s">
        <v>242</v>
      </c>
      <c r="B100" s="132" t="s">
        <v>243</v>
      </c>
      <c r="C100" s="81" t="n">
        <f aca="false">E96</f>
        <v>9476.44942573136</v>
      </c>
      <c r="D100" s="134" t="n">
        <v>0.076</v>
      </c>
      <c r="E100" s="82" t="n">
        <f aca="false">+C100*D100</f>
        <v>720.210156355583</v>
      </c>
    </row>
    <row r="101" s="146" customFormat="true" ht="15.75" hidden="false" customHeight="false" outlineLevel="0" collapsed="false">
      <c r="A101" s="131" t="s">
        <v>244</v>
      </c>
      <c r="B101" s="132" t="s">
        <v>245</v>
      </c>
      <c r="C101" s="81" t="n">
        <f aca="false">E96</f>
        <v>9476.44942573136</v>
      </c>
      <c r="D101" s="134" t="n">
        <v>0.05</v>
      </c>
      <c r="E101" s="82" t="n">
        <f aca="false">C101*D101</f>
        <v>473.822471286568</v>
      </c>
    </row>
    <row r="102" s="146" customFormat="true" ht="15.75" hidden="false" customHeight="false" outlineLevel="0" collapsed="false">
      <c r="A102" s="140"/>
      <c r="B102" s="184" t="s">
        <v>246</v>
      </c>
      <c r="C102" s="184"/>
      <c r="D102" s="185" t="n">
        <f aca="false">D97</f>
        <v>0.1425</v>
      </c>
      <c r="E102" s="82" t="n">
        <f aca="false">SUM(E99:E101)</f>
        <v>1350.39404316672</v>
      </c>
    </row>
    <row r="103" s="146" customFormat="true" ht="15.75" hidden="false" customHeight="true" outlineLevel="0" collapsed="false">
      <c r="A103" s="136" t="s">
        <v>247</v>
      </c>
      <c r="B103" s="136"/>
      <c r="C103" s="136"/>
      <c r="D103" s="136"/>
      <c r="E103" s="138" t="n">
        <f aca="false">+E93+E94+E102</f>
        <v>2440.90363996111</v>
      </c>
    </row>
    <row r="104" s="146" customFormat="true" ht="15.75" hidden="false" customHeight="true" outlineLevel="0" collapsed="false">
      <c r="A104" s="186" t="s">
        <v>248</v>
      </c>
      <c r="B104" s="186"/>
      <c r="C104" s="186"/>
      <c r="D104" s="186"/>
      <c r="E104" s="187" t="s">
        <v>139</v>
      </c>
    </row>
    <row r="105" s="146" customFormat="true" ht="15.75" hidden="false" customHeight="true" outlineLevel="0" collapsed="false">
      <c r="A105" s="131" t="s">
        <v>90</v>
      </c>
      <c r="B105" s="171" t="s">
        <v>249</v>
      </c>
      <c r="C105" s="171"/>
      <c r="D105" s="171"/>
      <c r="E105" s="82" t="n">
        <f aca="false">+E25</f>
        <v>3960</v>
      </c>
    </row>
    <row r="106" customFormat="false" ht="15.75" hidden="false" customHeight="true" outlineLevel="0" collapsed="false">
      <c r="A106" s="131" t="s">
        <v>94</v>
      </c>
      <c r="B106" s="171" t="s">
        <v>250</v>
      </c>
      <c r="C106" s="171"/>
      <c r="D106" s="171"/>
      <c r="E106" s="82" t="n">
        <f aca="false">+E54</f>
        <v>2510.579808</v>
      </c>
      <c r="F106" s="146"/>
      <c r="G106" s="146"/>
      <c r="H106" s="146"/>
      <c r="I106" s="146"/>
      <c r="J106" s="146"/>
      <c r="K106" s="146"/>
      <c r="L106" s="146"/>
      <c r="M106" s="146"/>
    </row>
    <row r="107" customFormat="false" ht="15.75" hidden="false" customHeight="true" outlineLevel="0" collapsed="false">
      <c r="A107" s="131" t="s">
        <v>131</v>
      </c>
      <c r="B107" s="171" t="s">
        <v>251</v>
      </c>
      <c r="C107" s="171"/>
      <c r="D107" s="171"/>
      <c r="E107" s="82" t="n">
        <f aca="false">E62</f>
        <v>338.3772682752</v>
      </c>
      <c r="F107" s="146"/>
      <c r="G107" s="146"/>
      <c r="H107" s="146"/>
      <c r="I107" s="146"/>
      <c r="J107" s="146"/>
      <c r="K107" s="146"/>
      <c r="L107" s="146"/>
      <c r="M107" s="146"/>
    </row>
    <row r="108" customFormat="false" ht="15.75" hidden="false" customHeight="true" outlineLevel="0" collapsed="false">
      <c r="A108" s="131" t="s">
        <v>153</v>
      </c>
      <c r="B108" s="171" t="s">
        <v>252</v>
      </c>
      <c r="C108" s="171"/>
      <c r="D108" s="171"/>
      <c r="E108" s="82" t="n">
        <f aca="false">E82</f>
        <v>190.020376161717</v>
      </c>
      <c r="F108" s="146"/>
      <c r="G108" s="146"/>
      <c r="H108" s="146"/>
      <c r="I108" s="146"/>
      <c r="J108" s="146"/>
      <c r="K108" s="146"/>
      <c r="L108" s="146"/>
      <c r="M108" s="146"/>
    </row>
    <row r="109" customFormat="false" ht="15.75" hidden="false" customHeight="true" outlineLevel="0" collapsed="false">
      <c r="A109" s="131" t="s">
        <v>96</v>
      </c>
      <c r="B109" s="171" t="s">
        <v>253</v>
      </c>
      <c r="C109" s="171"/>
      <c r="D109" s="171"/>
      <c r="E109" s="82" t="n">
        <f aca="false">E89</f>
        <v>36.5683333333333</v>
      </c>
      <c r="F109" s="146"/>
      <c r="G109" s="146"/>
      <c r="H109" s="146"/>
      <c r="I109" s="146"/>
      <c r="J109" s="146"/>
      <c r="K109" s="146"/>
      <c r="L109" s="146"/>
      <c r="M109" s="146"/>
    </row>
    <row r="110" customFormat="false" ht="15.75" hidden="false" customHeight="true" outlineLevel="0" collapsed="false">
      <c r="A110" s="140" t="s">
        <v>254</v>
      </c>
      <c r="B110" s="140"/>
      <c r="C110" s="140"/>
      <c r="D110" s="140"/>
      <c r="E110" s="188" t="n">
        <f aca="false">SUM(E105:E109)</f>
        <v>7035.54578577025</v>
      </c>
      <c r="F110" s="146"/>
      <c r="G110" s="146"/>
      <c r="H110" s="146"/>
      <c r="I110" s="146"/>
      <c r="J110" s="146"/>
      <c r="K110" s="146"/>
      <c r="L110" s="146"/>
      <c r="M110" s="146"/>
    </row>
    <row r="111" customFormat="false" ht="15.75" hidden="false" customHeight="true" outlineLevel="0" collapsed="false">
      <c r="A111" s="131" t="s">
        <v>158</v>
      </c>
      <c r="B111" s="171" t="s">
        <v>255</v>
      </c>
      <c r="C111" s="171"/>
      <c r="D111" s="171"/>
      <c r="E111" s="82" t="n">
        <f aca="false">+E103</f>
        <v>2440.90363996111</v>
      </c>
      <c r="F111" s="146"/>
      <c r="G111" s="146"/>
      <c r="H111" s="146"/>
      <c r="I111" s="146"/>
      <c r="J111" s="146"/>
      <c r="K111" s="146"/>
      <c r="L111" s="146"/>
      <c r="M111" s="146"/>
    </row>
    <row r="112" customFormat="false" ht="16.5" hidden="false" customHeight="true" outlineLevel="0" collapsed="false">
      <c r="A112" s="189" t="s">
        <v>256</v>
      </c>
      <c r="B112" s="189"/>
      <c r="C112" s="189"/>
      <c r="D112" s="189"/>
      <c r="E112" s="190" t="n">
        <f aca="false">+E110+E111</f>
        <v>9476.44942573136</v>
      </c>
      <c r="F112" s="146"/>
      <c r="G112" s="146"/>
      <c r="H112" s="146"/>
      <c r="I112" s="146"/>
      <c r="J112" s="146"/>
      <c r="K112" s="146"/>
      <c r="L112" s="146"/>
      <c r="M112" s="146"/>
    </row>
    <row r="113" customFormat="false" ht="15.75" hidden="false" customHeight="true" outlineLevel="0" collapsed="false">
      <c r="A113" s="200" t="s">
        <v>262</v>
      </c>
      <c r="B113" s="200"/>
      <c r="C113" s="200"/>
      <c r="D113" s="200"/>
      <c r="E113" s="200"/>
    </row>
    <row r="114" customFormat="false" ht="15.75" hidden="false" customHeight="true" outlineLevel="0" collapsed="false">
      <c r="A114" s="201" t="s">
        <v>263</v>
      </c>
      <c r="B114" s="201"/>
      <c r="C114" s="201"/>
      <c r="D114" s="201"/>
      <c r="E114" s="201"/>
    </row>
    <row r="115" customFormat="false" ht="15.75" hidden="false" customHeight="false" outlineLevel="0" collapsed="false">
      <c r="A115" s="201"/>
      <c r="B115" s="201"/>
      <c r="C115" s="201"/>
      <c r="D115" s="201"/>
      <c r="E115" s="201"/>
    </row>
    <row r="116" customFormat="false" ht="15.75" hidden="false" customHeight="false" outlineLevel="0" collapsed="false">
      <c r="A116" s="201"/>
      <c r="B116" s="201"/>
      <c r="C116" s="201"/>
      <c r="D116" s="201"/>
      <c r="E116" s="201"/>
    </row>
    <row r="117" customFormat="false" ht="15.75" hidden="false" customHeight="false" outlineLevel="0" collapsed="false">
      <c r="A117" s="201"/>
      <c r="B117" s="201"/>
      <c r="C117" s="201"/>
      <c r="D117" s="201"/>
      <c r="E117" s="201"/>
    </row>
    <row r="118" customFormat="false" ht="15.75" hidden="false" customHeight="false" outlineLevel="0" collapsed="false">
      <c r="A118" s="201"/>
      <c r="B118" s="201"/>
      <c r="C118" s="201"/>
      <c r="D118" s="201"/>
      <c r="E118" s="201"/>
    </row>
    <row r="119" customFormat="false" ht="15.75" hidden="false" customHeight="false" outlineLevel="0" collapsed="false">
      <c r="A119" s="201"/>
      <c r="B119" s="201"/>
      <c r="C119" s="201"/>
      <c r="D119" s="201"/>
      <c r="E119" s="201"/>
    </row>
  </sheetData>
  <mergeCells count="58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C18:D18"/>
    <mergeCell ref="C19:D19"/>
    <mergeCell ref="C20:D20"/>
    <mergeCell ref="C21:D21"/>
    <mergeCell ref="C22:D22"/>
    <mergeCell ref="C23:D23"/>
    <mergeCell ref="C24:D24"/>
    <mergeCell ref="A25:D25"/>
    <mergeCell ref="A26:E26"/>
    <mergeCell ref="A30:C30"/>
    <mergeCell ref="A31:E31"/>
    <mergeCell ref="A41:C41"/>
    <mergeCell ref="A42:E42"/>
    <mergeCell ref="A49:D49"/>
    <mergeCell ref="A50:E50"/>
    <mergeCell ref="A54:D54"/>
    <mergeCell ref="A55:E55"/>
    <mergeCell ref="A62:C62"/>
    <mergeCell ref="A63:E63"/>
    <mergeCell ref="A72:C72"/>
    <mergeCell ref="A73:E73"/>
    <mergeCell ref="A76:C76"/>
    <mergeCell ref="A77:E77"/>
    <mergeCell ref="A81:C81"/>
    <mergeCell ref="A82:D82"/>
    <mergeCell ref="A83:E83"/>
    <mergeCell ref="A89:D89"/>
    <mergeCell ref="A90:D90"/>
    <mergeCell ref="A91:E91"/>
    <mergeCell ref="A103:D103"/>
    <mergeCell ref="A104:D104"/>
    <mergeCell ref="B105:D105"/>
    <mergeCell ref="B106:D106"/>
    <mergeCell ref="B107:D107"/>
    <mergeCell ref="B108:D108"/>
    <mergeCell ref="B109:D109"/>
    <mergeCell ref="A110:D110"/>
    <mergeCell ref="B111:D111"/>
    <mergeCell ref="A112:D112"/>
    <mergeCell ref="A113:E113"/>
    <mergeCell ref="A114:E119"/>
  </mergeCells>
  <hyperlinks>
    <hyperlink ref="B38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16" activeCellId="0" sqref="K16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30.71"/>
    <col collapsed="false" customWidth="true" hidden="false" outlineLevel="0" max="8" min="3" style="1" width="13.71"/>
  </cols>
  <sheetData>
    <row r="1" customFormat="false" ht="15" hidden="false" customHeight="true" outlineLevel="0" collapsed="false">
      <c r="A1" s="202" t="s">
        <v>264</v>
      </c>
      <c r="B1" s="202"/>
      <c r="C1" s="202"/>
      <c r="D1" s="202"/>
      <c r="E1" s="202"/>
      <c r="F1" s="202"/>
      <c r="G1" s="202"/>
      <c r="H1" s="202"/>
    </row>
    <row r="2" customFormat="false" ht="30" hidden="false" customHeight="true" outlineLevel="0" collapsed="false">
      <c r="A2" s="203" t="s">
        <v>265</v>
      </c>
      <c r="B2" s="204" t="s">
        <v>266</v>
      </c>
      <c r="C2" s="204" t="s">
        <v>267</v>
      </c>
      <c r="D2" s="204" t="s">
        <v>268</v>
      </c>
      <c r="E2" s="204" t="s">
        <v>268</v>
      </c>
      <c r="F2" s="204" t="s">
        <v>269</v>
      </c>
      <c r="G2" s="204" t="s">
        <v>270</v>
      </c>
      <c r="H2" s="205" t="s">
        <v>271</v>
      </c>
    </row>
    <row r="3" customFormat="false" ht="15" hidden="false" customHeight="true" outlineLevel="0" collapsed="false">
      <c r="A3" s="206" t="n">
        <v>1</v>
      </c>
      <c r="B3" s="47" t="s">
        <v>272</v>
      </c>
      <c r="C3" s="47" t="s">
        <v>273</v>
      </c>
      <c r="D3" s="47" t="n">
        <v>2</v>
      </c>
      <c r="E3" s="47" t="n">
        <f aca="false">D3*2</f>
        <v>4</v>
      </c>
      <c r="F3" s="207" t="n">
        <v>47.6</v>
      </c>
      <c r="G3" s="208" t="n">
        <f aca="false">F3*E3</f>
        <v>190.4</v>
      </c>
      <c r="H3" s="209" t="n">
        <f aca="false">G3/12</f>
        <v>15.8666666666667</v>
      </c>
    </row>
    <row r="4" customFormat="false" ht="15" hidden="false" customHeight="true" outlineLevel="0" collapsed="false">
      <c r="A4" s="206" t="n">
        <v>2</v>
      </c>
      <c r="B4" s="210" t="s">
        <v>274</v>
      </c>
      <c r="C4" s="47" t="s">
        <v>273</v>
      </c>
      <c r="D4" s="211" t="n">
        <v>2</v>
      </c>
      <c r="E4" s="47" t="n">
        <f aca="false">D4*2</f>
        <v>4</v>
      </c>
      <c r="F4" s="212" t="n">
        <v>33</v>
      </c>
      <c r="G4" s="208" t="n">
        <f aca="false">F4*E4</f>
        <v>132</v>
      </c>
      <c r="H4" s="209" t="n">
        <f aca="false">G4/12</f>
        <v>11</v>
      </c>
    </row>
    <row r="5" customFormat="false" ht="15" hidden="false" customHeight="true" outlineLevel="0" collapsed="false">
      <c r="A5" s="206" t="n">
        <v>3</v>
      </c>
      <c r="B5" s="210" t="s">
        <v>275</v>
      </c>
      <c r="C5" s="47" t="s">
        <v>273</v>
      </c>
      <c r="D5" s="211" t="n">
        <v>1</v>
      </c>
      <c r="E5" s="47" t="n">
        <f aca="false">D5*2</f>
        <v>2</v>
      </c>
      <c r="F5" s="212" t="n">
        <v>8</v>
      </c>
      <c r="G5" s="208" t="n">
        <f aca="false">F5*E5</f>
        <v>16</v>
      </c>
      <c r="H5" s="209" t="n">
        <f aca="false">G5/12</f>
        <v>1.33333333333333</v>
      </c>
    </row>
    <row r="6" customFormat="false" ht="15" hidden="false" customHeight="true" outlineLevel="0" collapsed="false">
      <c r="A6" s="213" t="n">
        <v>4</v>
      </c>
      <c r="B6" s="70" t="s">
        <v>276</v>
      </c>
      <c r="C6" s="214" t="s">
        <v>273</v>
      </c>
      <c r="D6" s="215" t="n">
        <v>1</v>
      </c>
      <c r="E6" s="214" t="n">
        <f aca="false">D6*2</f>
        <v>2</v>
      </c>
      <c r="F6" s="216" t="n">
        <v>50.21</v>
      </c>
      <c r="G6" s="217" t="n">
        <f aca="false">F6*E6</f>
        <v>100.42</v>
      </c>
      <c r="H6" s="218" t="n">
        <f aca="false">G6/12</f>
        <v>8.36833333333333</v>
      </c>
    </row>
    <row r="7" customFormat="false" ht="15" hidden="false" customHeight="true" outlineLevel="0" collapsed="false">
      <c r="A7" s="219" t="s">
        <v>277</v>
      </c>
      <c r="B7" s="219"/>
      <c r="C7" s="219"/>
      <c r="D7" s="219"/>
      <c r="E7" s="219"/>
      <c r="F7" s="219"/>
      <c r="G7" s="219"/>
      <c r="H7" s="220" t="n">
        <f aca="false">SUM(H3:H6)</f>
        <v>36.5683333333333</v>
      </c>
    </row>
    <row r="8" customFormat="false" ht="15" hidden="false" customHeight="true" outlineLevel="0" collapsed="false">
      <c r="A8" s="221" t="s">
        <v>262</v>
      </c>
      <c r="B8" s="221"/>
      <c r="C8" s="221"/>
      <c r="D8" s="221"/>
      <c r="E8" s="221"/>
      <c r="F8" s="221"/>
      <c r="G8" s="221"/>
      <c r="H8" s="221"/>
    </row>
    <row r="9" customFormat="false" ht="15" hidden="false" customHeight="true" outlineLevel="0" collapsed="false">
      <c r="A9" s="222" t="s">
        <v>278</v>
      </c>
      <c r="B9" s="222"/>
      <c r="C9" s="222"/>
      <c r="D9" s="222"/>
      <c r="E9" s="222"/>
      <c r="F9" s="222"/>
      <c r="G9" s="222"/>
      <c r="H9" s="222"/>
    </row>
    <row r="10" customFormat="false" ht="15" hidden="false" customHeight="false" outlineLevel="0" collapsed="false">
      <c r="A10" s="222"/>
      <c r="B10" s="222"/>
      <c r="C10" s="222"/>
      <c r="D10" s="222"/>
      <c r="E10" s="222"/>
      <c r="F10" s="222"/>
      <c r="G10" s="222"/>
      <c r="H10" s="222"/>
    </row>
    <row r="11" customFormat="false" ht="15" hidden="false" customHeight="false" outlineLevel="0" collapsed="false">
      <c r="A11" s="222"/>
      <c r="B11" s="222"/>
      <c r="C11" s="222"/>
      <c r="D11" s="222"/>
      <c r="E11" s="222"/>
      <c r="F11" s="222"/>
      <c r="G11" s="222"/>
      <c r="H11" s="222"/>
    </row>
    <row r="12" customFormat="false" ht="15" hidden="false" customHeight="false" outlineLevel="0" collapsed="false">
      <c r="A12" s="222"/>
      <c r="B12" s="222"/>
      <c r="C12" s="222"/>
      <c r="D12" s="222"/>
      <c r="E12" s="222"/>
      <c r="F12" s="222"/>
      <c r="G12" s="222"/>
      <c r="H12" s="222"/>
    </row>
    <row r="13" customFormat="false" ht="15" hidden="false" customHeight="false" outlineLevel="0" collapsed="false">
      <c r="A13" s="222"/>
      <c r="B13" s="222"/>
      <c r="C13" s="222"/>
      <c r="D13" s="222"/>
      <c r="E13" s="222"/>
      <c r="F13" s="222"/>
      <c r="G13" s="222"/>
      <c r="H13" s="222"/>
    </row>
    <row r="14" customFormat="false" ht="15" hidden="false" customHeight="false" outlineLevel="0" collapsed="false">
      <c r="A14" s="222"/>
      <c r="B14" s="222"/>
      <c r="C14" s="222"/>
      <c r="D14" s="222"/>
      <c r="E14" s="222"/>
      <c r="F14" s="222"/>
      <c r="G14" s="222"/>
      <c r="H14" s="222"/>
    </row>
    <row r="15" customFormat="false" ht="15" hidden="false" customHeight="false" outlineLevel="0" collapsed="false">
      <c r="A15" s="222"/>
      <c r="B15" s="222"/>
      <c r="C15" s="222"/>
      <c r="D15" s="222"/>
      <c r="E15" s="222"/>
      <c r="F15" s="222"/>
      <c r="G15" s="222"/>
      <c r="H15" s="222"/>
    </row>
    <row r="16" customFormat="false" ht="15" hidden="false" customHeight="false" outlineLevel="0" collapsed="false">
      <c r="A16" s="222"/>
      <c r="B16" s="222"/>
      <c r="C16" s="222"/>
      <c r="D16" s="222"/>
      <c r="E16" s="222"/>
      <c r="F16" s="222"/>
      <c r="G16" s="222"/>
      <c r="H16" s="222"/>
    </row>
  </sheetData>
  <mergeCells count="4">
    <mergeCell ref="A1:H1"/>
    <mergeCell ref="A7:G7"/>
    <mergeCell ref="A8:H8"/>
    <mergeCell ref="A9:H16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14" activeCellId="0" sqref="I14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60.71"/>
    <col collapsed="false" customWidth="true" hidden="false" outlineLevel="0" max="6" min="3" style="1" width="12.71"/>
    <col collapsed="false" customWidth="true" hidden="false" outlineLevel="0" max="7" min="7" style="1" width="15"/>
    <col collapsed="false" customWidth="true" hidden="false" outlineLevel="0" max="8" min="8" style="1" width="12.71"/>
  </cols>
  <sheetData>
    <row r="1" customFormat="false" ht="15" hidden="false" customHeight="true" outlineLevel="0" collapsed="false">
      <c r="A1" s="39" t="s">
        <v>279</v>
      </c>
      <c r="B1" s="39"/>
      <c r="C1" s="39"/>
      <c r="D1" s="39"/>
      <c r="E1" s="39"/>
      <c r="F1" s="39"/>
      <c r="G1" s="39"/>
      <c r="H1" s="39"/>
    </row>
    <row r="2" customFormat="false" ht="30" hidden="false" customHeight="true" outlineLevel="0" collapsed="false">
      <c r="A2" s="223" t="s">
        <v>265</v>
      </c>
      <c r="B2" s="224" t="s">
        <v>280</v>
      </c>
      <c r="C2" s="224" t="s">
        <v>281</v>
      </c>
      <c r="D2" s="224" t="s">
        <v>282</v>
      </c>
      <c r="E2" s="224" t="s">
        <v>283</v>
      </c>
      <c r="F2" s="224" t="s">
        <v>269</v>
      </c>
      <c r="G2" s="224" t="s">
        <v>270</v>
      </c>
      <c r="H2" s="225" t="s">
        <v>284</v>
      </c>
    </row>
    <row r="3" customFormat="false" ht="15" hidden="false" customHeight="true" outlineLevel="0" collapsed="false">
      <c r="A3" s="226" t="n">
        <v>1</v>
      </c>
      <c r="B3" s="227" t="s">
        <v>285</v>
      </c>
      <c r="C3" s="228" t="s">
        <v>286</v>
      </c>
      <c r="D3" s="229" t="n">
        <v>5040</v>
      </c>
      <c r="E3" s="229" t="n">
        <f aca="false">D3*12</f>
        <v>60480</v>
      </c>
      <c r="F3" s="230" t="n">
        <f aca="false">32.7/100</f>
        <v>0.327</v>
      </c>
      <c r="G3" s="231" t="n">
        <f aca="false">F3*E3</f>
        <v>19776.96</v>
      </c>
      <c r="H3" s="232" t="n">
        <f aca="false">F3*D3</f>
        <v>1648.08</v>
      </c>
    </row>
    <row r="4" customFormat="false" ht="15" hidden="false" customHeight="true" outlineLevel="0" collapsed="false">
      <c r="A4" s="233" t="n">
        <v>2</v>
      </c>
      <c r="B4" s="234" t="s">
        <v>287</v>
      </c>
      <c r="C4" s="235" t="s">
        <v>286</v>
      </c>
      <c r="D4" s="236" t="n">
        <v>3720</v>
      </c>
      <c r="E4" s="236" t="n">
        <f aca="false">D4*12</f>
        <v>44640</v>
      </c>
      <c r="F4" s="237" t="n">
        <f aca="false">23.75/100</f>
        <v>0.2375</v>
      </c>
      <c r="G4" s="238" t="n">
        <f aca="false">F4*E4</f>
        <v>10602</v>
      </c>
      <c r="H4" s="239" t="n">
        <f aca="false">F4*D4</f>
        <v>883.5</v>
      </c>
    </row>
    <row r="5" customFormat="false" ht="15" hidden="false" customHeight="true" outlineLevel="0" collapsed="false">
      <c r="A5" s="233" t="n">
        <v>3</v>
      </c>
      <c r="B5" s="234" t="s">
        <v>288</v>
      </c>
      <c r="C5" s="235" t="s">
        <v>286</v>
      </c>
      <c r="D5" s="236" t="n">
        <v>6000</v>
      </c>
      <c r="E5" s="236" t="n">
        <f aca="false">D5*12</f>
        <v>72000</v>
      </c>
      <c r="F5" s="237" t="n">
        <f aca="false">45.09/100</f>
        <v>0.4509</v>
      </c>
      <c r="G5" s="238" t="n">
        <f aca="false">F5*E5</f>
        <v>32464.8</v>
      </c>
      <c r="H5" s="239" t="n">
        <f aca="false">F5*D5</f>
        <v>2705.4</v>
      </c>
    </row>
    <row r="6" customFormat="false" ht="15" hidden="false" customHeight="true" outlineLevel="0" collapsed="false">
      <c r="A6" s="240" t="n">
        <v>4</v>
      </c>
      <c r="B6" s="234" t="s">
        <v>289</v>
      </c>
      <c r="C6" s="241" t="s">
        <v>286</v>
      </c>
      <c r="D6" s="242" t="n">
        <v>30</v>
      </c>
      <c r="E6" s="242" t="n">
        <f aca="false">D6*12</f>
        <v>360</v>
      </c>
      <c r="F6" s="237" t="n">
        <v>0.38</v>
      </c>
      <c r="G6" s="238" t="n">
        <f aca="false">F6*E6</f>
        <v>136.8</v>
      </c>
      <c r="H6" s="239" t="n">
        <f aca="false">F6*D6</f>
        <v>11.4</v>
      </c>
    </row>
    <row r="7" customFormat="false" ht="15" hidden="false" customHeight="true" outlineLevel="0" collapsed="false">
      <c r="A7" s="240" t="n">
        <v>5</v>
      </c>
      <c r="B7" s="234" t="s">
        <v>290</v>
      </c>
      <c r="C7" s="241" t="s">
        <v>286</v>
      </c>
      <c r="D7" s="242" t="n">
        <v>990</v>
      </c>
      <c r="E7" s="242" t="n">
        <f aca="false">D7*12</f>
        <v>11880</v>
      </c>
      <c r="F7" s="243" t="n">
        <v>2.59</v>
      </c>
      <c r="G7" s="238" t="n">
        <f aca="false">F7*E7</f>
        <v>30769.2</v>
      </c>
      <c r="H7" s="239" t="n">
        <f aca="false">F7*D7</f>
        <v>2564.1</v>
      </c>
    </row>
    <row r="8" customFormat="false" ht="30" hidden="false" customHeight="true" outlineLevel="0" collapsed="false">
      <c r="A8" s="240" t="n">
        <v>6</v>
      </c>
      <c r="B8" s="234" t="s">
        <v>291</v>
      </c>
      <c r="C8" s="241" t="s">
        <v>286</v>
      </c>
      <c r="D8" s="242" t="n">
        <v>300</v>
      </c>
      <c r="E8" s="242" t="n">
        <f aca="false">D8*12</f>
        <v>3600</v>
      </c>
      <c r="F8" s="243" t="n">
        <v>1.64</v>
      </c>
      <c r="G8" s="238" t="n">
        <f aca="false">F8*E8</f>
        <v>5904</v>
      </c>
      <c r="H8" s="239" t="n">
        <f aca="false">F8*D8</f>
        <v>492</v>
      </c>
    </row>
    <row r="9" customFormat="false" ht="15" hidden="false" customHeight="true" outlineLevel="0" collapsed="false">
      <c r="A9" s="240" t="n">
        <v>7</v>
      </c>
      <c r="B9" s="234" t="s">
        <v>292</v>
      </c>
      <c r="C9" s="241" t="s">
        <v>293</v>
      </c>
      <c r="D9" s="242" t="n">
        <v>8</v>
      </c>
      <c r="E9" s="242" t="n">
        <f aca="false">D9*12</f>
        <v>96</v>
      </c>
      <c r="F9" s="243" t="n">
        <f aca="false">6.2*2</f>
        <v>12.4</v>
      </c>
      <c r="G9" s="238" t="n">
        <f aca="false">F9*E9</f>
        <v>1190.4</v>
      </c>
      <c r="H9" s="239" t="n">
        <f aca="false">F9*D9</f>
        <v>99.2</v>
      </c>
    </row>
    <row r="10" customFormat="false" ht="15" hidden="false" customHeight="true" outlineLevel="0" collapsed="false">
      <c r="A10" s="240" t="n">
        <v>8</v>
      </c>
      <c r="B10" s="234" t="s">
        <v>294</v>
      </c>
      <c r="C10" s="241" t="s">
        <v>295</v>
      </c>
      <c r="D10" s="242" t="n">
        <v>3</v>
      </c>
      <c r="E10" s="242" t="n">
        <f aca="false">D10*12</f>
        <v>36</v>
      </c>
      <c r="F10" s="243" t="n">
        <v>15</v>
      </c>
      <c r="G10" s="238" t="n">
        <f aca="false">F10*E10</f>
        <v>540</v>
      </c>
      <c r="H10" s="239" t="n">
        <f aca="false">F10*D10</f>
        <v>45</v>
      </c>
    </row>
    <row r="11" customFormat="false" ht="15" hidden="false" customHeight="true" outlineLevel="0" collapsed="false">
      <c r="A11" s="240" t="n">
        <v>9</v>
      </c>
      <c r="B11" s="234" t="s">
        <v>296</v>
      </c>
      <c r="C11" s="241" t="s">
        <v>295</v>
      </c>
      <c r="D11" s="242" t="n">
        <v>4</v>
      </c>
      <c r="E11" s="242" t="n">
        <f aca="false">D11*12</f>
        <v>48</v>
      </c>
      <c r="F11" s="237" t="n">
        <v>26.7</v>
      </c>
      <c r="G11" s="238" t="n">
        <f aca="false">F11*E11</f>
        <v>1281.6</v>
      </c>
      <c r="H11" s="239" t="n">
        <f aca="false">F11*D11</f>
        <v>106.8</v>
      </c>
    </row>
    <row r="12" customFormat="false" ht="15" hidden="false" customHeight="true" outlineLevel="0" collapsed="false">
      <c r="A12" s="244" t="n">
        <v>10</v>
      </c>
      <c r="B12" s="245" t="s">
        <v>297</v>
      </c>
      <c r="C12" s="246" t="s">
        <v>295</v>
      </c>
      <c r="D12" s="247" t="n">
        <v>4</v>
      </c>
      <c r="E12" s="247" t="n">
        <f aca="false">D12*12</f>
        <v>48</v>
      </c>
      <c r="F12" s="248" t="n">
        <v>10.71</v>
      </c>
      <c r="G12" s="249" t="n">
        <f aca="false">F12*E12</f>
        <v>514.08</v>
      </c>
      <c r="H12" s="250" t="n">
        <f aca="false">F12*D12</f>
        <v>42.84</v>
      </c>
    </row>
    <row r="13" customFormat="false" ht="15" hidden="false" customHeight="true" outlineLevel="0" collapsed="false">
      <c r="A13" s="251"/>
      <c r="B13" s="251"/>
      <c r="C13" s="251"/>
      <c r="D13" s="251"/>
      <c r="E13" s="251"/>
      <c r="F13" s="251"/>
      <c r="G13" s="252" t="n">
        <f aca="false">SUM(G3:G12)</f>
        <v>103179.84</v>
      </c>
      <c r="H13" s="253" t="n">
        <f aca="false">SUM(H3:H12)</f>
        <v>8598.32</v>
      </c>
    </row>
    <row r="14" customFormat="false" ht="15" hidden="false" customHeight="true" outlineLevel="0" collapsed="false">
      <c r="A14" s="254" t="s">
        <v>298</v>
      </c>
      <c r="B14" s="254"/>
      <c r="C14" s="254"/>
      <c r="D14" s="254"/>
      <c r="E14" s="254"/>
      <c r="F14" s="254"/>
      <c r="G14" s="254"/>
      <c r="H14" s="255" t="n">
        <f aca="false">H13/('PLANILHA '!F20+'PLANILHA '!F21)</f>
        <v>859.832</v>
      </c>
    </row>
    <row r="15" customFormat="false" ht="15" hidden="false" customHeight="true" outlineLevel="0" collapsed="false">
      <c r="A15" s="256" t="s">
        <v>299</v>
      </c>
      <c r="B15" s="256"/>
      <c r="C15" s="256"/>
      <c r="D15" s="256"/>
      <c r="E15" s="256"/>
      <c r="F15" s="256"/>
      <c r="G15" s="256"/>
      <c r="H15" s="256"/>
    </row>
    <row r="16" customFormat="false" ht="30" hidden="false" customHeight="true" outlineLevel="0" collapsed="false">
      <c r="A16" s="257" t="s">
        <v>300</v>
      </c>
      <c r="B16" s="257"/>
      <c r="C16" s="257"/>
      <c r="D16" s="257"/>
      <c r="E16" s="257"/>
      <c r="F16" s="257"/>
      <c r="G16" s="257"/>
      <c r="H16" s="257"/>
    </row>
    <row r="17" customFormat="false" ht="30" hidden="false" customHeight="true" outlineLevel="0" collapsed="false">
      <c r="A17" s="257" t="s">
        <v>301</v>
      </c>
      <c r="B17" s="257"/>
      <c r="C17" s="257"/>
      <c r="D17" s="257"/>
      <c r="E17" s="257"/>
      <c r="F17" s="257"/>
      <c r="G17" s="257"/>
      <c r="H17" s="257"/>
    </row>
    <row r="18" customFormat="false" ht="30" hidden="false" customHeight="true" outlineLevel="0" collapsed="false">
      <c r="A18" s="257" t="s">
        <v>302</v>
      </c>
      <c r="B18" s="257"/>
      <c r="C18" s="257"/>
      <c r="D18" s="257"/>
      <c r="E18" s="257"/>
      <c r="F18" s="257"/>
      <c r="G18" s="257"/>
      <c r="H18" s="257"/>
    </row>
    <row r="19" customFormat="false" ht="30" hidden="false" customHeight="true" outlineLevel="0" collapsed="false">
      <c r="A19" s="258" t="s">
        <v>303</v>
      </c>
      <c r="B19" s="258"/>
      <c r="C19" s="258"/>
      <c r="D19" s="258"/>
      <c r="E19" s="258"/>
      <c r="F19" s="258"/>
      <c r="G19" s="258"/>
      <c r="H19" s="258"/>
    </row>
  </sheetData>
  <mergeCells count="8">
    <mergeCell ref="A1:H1"/>
    <mergeCell ref="A13:F13"/>
    <mergeCell ref="A14:G14"/>
    <mergeCell ref="A15:H15"/>
    <mergeCell ref="A16:H16"/>
    <mergeCell ref="A17:H17"/>
    <mergeCell ref="A18:H18"/>
    <mergeCell ref="A19:H1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2025-05-05T14:24:09Z</cp:lastPrinted>
  <dcterms:modified xsi:type="dcterms:W3CDTF">2026-03-04T13:34:10Z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