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4"/>
  </bookViews>
  <sheets>
    <sheet name="Plan2" sheetId="1" state="hidden" r:id="rId3"/>
    <sheet name="Plan3" sheetId="2" state="hidden" r:id="rId4"/>
    <sheet name="PLANILHA " sheetId="3" state="visible" r:id="rId5"/>
    <sheet name="Agente de Coleta - Diurno " sheetId="4" state="visible" r:id="rId6"/>
    <sheet name="Responsavel Tecnico" sheetId="5" state="visible" r:id="rId7"/>
    <sheet name="EPI's e Uniformes" sheetId="6" state="visible" r:id="rId8"/>
    <sheet name="Materiais" sheetId="7" state="visible" r:id="rId9"/>
    <sheet name="Equipamentos-Mater. Permanentes" sheetId="8" state="visible" r:id="rId10"/>
  </sheets>
  <definedNames>
    <definedName function="false" hidden="false" localSheetId="3" name="_xlnm.Print_Area" vbProcedure="false">'Agente de Coleta - Diurno '!$A$1:$E$112</definedName>
    <definedName function="false" hidden="false" localSheetId="3" name="_xlnm.Print_Titles" vbProcedure="false">'Agente de Coleta - Diurno '!$1:$1</definedName>
    <definedName function="false" hidden="false" localSheetId="5" name="_xlnm.Print_Area" vbProcedure="false">'EPI''s e Uniformes'!$A$1:$I$12</definedName>
    <definedName function="false" hidden="false" localSheetId="7" name="_xlnm.Print_Area" vbProcedure="false">'Equipamentos-Mater. Permanentes'!$A$1:$H$27</definedName>
    <definedName function="false" hidden="false" localSheetId="6" name="_xlnm.Print_Area" vbProcedure="false">Materiais!$A$1:$H$23</definedName>
    <definedName function="false" hidden="false" localSheetId="2" name="_xlnm.Print_Area" vbProcedure="false">'PLANILHA '!$A$1:$K$22</definedName>
    <definedName function="false" hidden="false" localSheetId="4" name="_xlnm.Print_Area" vbProcedure="false">'Responsavel Tecnico'!$A$1:$E$119</definedName>
    <definedName function="false" hidden="false" localSheetId="4" name="_xlnm.Print_Titles" vbProcedure="false">'Responsavel Tecnico'!$1:$1</definedName>
    <definedName function="false" hidden="false" localSheetId="2" name="_xlnm.Print_Titles" vbProcedure="false">'planilha 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<sst xmlns="http://schemas.openxmlformats.org/spreadsheetml/2006/main" count="665" uniqueCount="322">
  <si>
    <t xml:space="preserve">27/08/2012 - APLICABILIDADE DA LEI Nº 12.506, DE 11 DE OUTUBRO DE 2011</t>
  </si>
  <si>
    <t xml:space="preserve">AVISO PRÉVIO TRABALHADO</t>
  </si>
  <si>
    <t xml:space="preserve">COMUNICA</t>
  </si>
  <si>
    <t xml:space="preserve">Com a publicação da LEI 12.506/2011, ainda que esta não se manifeste sobre a redução da jornada e da proporcionalidade nos dias de falta ao trabalho no caso de aviso prévio trabalhado, poder-se-ia entender que o empregado teria direito à redução de 2 horas diárias, bem como poderia faltar ao trabalho o número de dias proporcionais ao tempo trabalhado.</t>
  </si>
  <si>
    <r>
      <rPr>
        <sz val="8"/>
        <color rgb="FF000000"/>
        <rFont val="Verdana"/>
        <family val="2"/>
        <charset val="1"/>
      </rPr>
      <t xml:space="preserve">ASSIM SENDO, COM A NOVA PREVISÃO LEGAL</t>
    </r>
    <r>
      <rPr>
        <b val="true"/>
        <sz val="8"/>
        <color rgb="FFFF0000"/>
        <rFont val="Verdana"/>
        <family val="2"/>
        <charset val="1"/>
      </rPr>
      <t xml:space="preserve">, HAVERÁ NECESSIDADE DE MODIFICAÇÃO NA METODOLOGIA ATÉ ENTÃO ADOTADA PARA PRORROGAÇÃO DOS CONTRATOS DE PRESTAÇÃO DE SERVIÇOS COM ALOCAÇÃO DE MÃO DE OBRA. NESSE CASO, O VALOR PREVISTO A TÍTULO DE AVISO PRÉVIO DEVERÁ CONSIDERAR 3 (TRÊS) DIAS PARA CADA ANO DE PRORROGAÇÃO, ATÉ O LIMITE DE 12 (DOZE) DIAS, PERFAZENDO UM TOTAL DE 42 (QUARENTA E DOIS) DIAS</t>
    </r>
    <r>
      <rPr>
        <sz val="8"/>
        <color rgb="FF000000"/>
        <rFont val="Verdana"/>
        <family val="2"/>
        <charset val="1"/>
      </rPr>
      <t xml:space="preserve">, VISTO QUE O INCISO II DO ART. 57 DA LEI N° 8.666, DE 21 DE JUNHO DE 1993, PERMITE QUE OS CONTRATOS DE PRESTAÇÃO DE SERVIÇOS CONTINUADOS SEJAM PRORROGADOS ATÉ UM LIMITE DE SESSENTA MESES, CASO OS PREÇOS E CONDIÇÕES SEJAM MAIS VANTAJOSOS PARA A ADMINISTRAÇÃO. DESSA FORMA, A METODOLOGIA REFLETIRÁ O PRAZO DE AVISO PRÉVIO QUE O EMPREGADO ACUMULA NO PRIMEIRO ANO E NOS SEGUINTES DO CONTRATO.</t>
    </r>
  </si>
  <si>
    <t xml:space="preserve">Aviso Prévio Trabalhado - Demissão Sem Justa Causa</t>
  </si>
  <si>
    <t xml:space="preserve">BRASÍLIA-DF, 15 DE AGOSTO DE 2012</t>
  </si>
  <si>
    <t xml:space="preserve">Tempo Trabalhado</t>
  </si>
  <si>
    <t xml:space="preserve">Dias de Aviso</t>
  </si>
  <si>
    <t xml:space="preserve">Faltas ao Trabalho</t>
  </si>
  <si>
    <t xml:space="preserve">SECRETARIA DE LOGÍSTICA E TECNOLOGIA DA INFORMAÇÃO – SLTI</t>
  </si>
  <si>
    <t xml:space="preserve">no final do aviso</t>
  </si>
  <si>
    <t xml:space="preserve">DEPARTAMENTO DE LOGÍSTICA E SERVIÇOS GERAIS – DLSG</t>
  </si>
  <si>
    <t xml:space="preserve">Até 1 ano</t>
  </si>
  <si>
    <t xml:space="preserve">COORDENAÇÃO-GERAL DE NORMAS – CGN</t>
  </si>
  <si>
    <t xml:space="preserve">Até 2 anos</t>
  </si>
  <si>
    <t xml:space="preserve">Até 3 anos</t>
  </si>
  <si>
    <t xml:space="preserve">Até 4 anos</t>
  </si>
  <si>
    <t xml:space="preserve">Até 5 anos</t>
  </si>
  <si>
    <t xml:space="preserve">Até 6 anos</t>
  </si>
  <si>
    <t xml:space="preserve">PRORROGAÇÃO EXECEPCIONAL (§ 4º DO ART. 57 DA LLC)</t>
  </si>
  <si>
    <t xml:space="preserve">Até 7 anos</t>
  </si>
  <si>
    <t xml:space="preserve">]</t>
  </si>
  <si>
    <t xml:space="preserve">Até 8 anos</t>
  </si>
  <si>
    <t xml:space="preserve">Até 9 anos</t>
  </si>
  <si>
    <t xml:space="preserve">Até 10 anos</t>
  </si>
  <si>
    <t xml:space="preserve">Até 11 anos</t>
  </si>
  <si>
    <t xml:space="preserve">Até 12 anos</t>
  </si>
  <si>
    <t xml:space="preserve">Até 13 anos</t>
  </si>
  <si>
    <t xml:space="preserve">Até 14 anos</t>
  </si>
  <si>
    <t xml:space="preserve">Até 15 anos</t>
  </si>
  <si>
    <t xml:space="preserve">Até 16 anos</t>
  </si>
  <si>
    <t xml:space="preserve">Até 17 anos</t>
  </si>
  <si>
    <t xml:space="preserve">Até 18 anos</t>
  </si>
  <si>
    <t xml:space="preserve">Até 19 anos</t>
  </si>
  <si>
    <t xml:space="preserve">Até 20 anos</t>
  </si>
  <si>
    <t xml:space="preserve">A partir de 20 anos</t>
  </si>
  <si>
    <t xml:space="preserve">VOLTAR PLANILHA PRINCIPAL</t>
  </si>
  <si>
    <r>
      <rPr>
        <b val="true"/>
        <sz val="14"/>
        <color rgb="FF000000"/>
        <rFont val="Calibri"/>
        <family val="2"/>
        <charset val="1"/>
      </rPr>
      <t xml:space="preserve">Nota:</t>
    </r>
    <r>
      <rPr>
        <sz val="14"/>
        <color rgb="FF000000"/>
        <rFont val="Calibri"/>
        <family val="2"/>
        <charset val="1"/>
      </rPr>
      <t xml:space="preserve"> Entretanto, a lei não especifica que deva aplicar esta proporcionalidade de acordo com o tempo de empresa, porquanto </t>
    </r>
    <r>
      <rPr>
        <b val="true"/>
        <u val="single"/>
        <sz val="14"/>
        <color rgb="FF000000"/>
        <rFont val="Calibri"/>
        <family val="2"/>
        <charset val="1"/>
      </rPr>
      <t xml:space="preserve">entendemos que a falta ao final do aviso ainda seja de 7 (sete) dias</t>
    </r>
    <r>
      <rPr>
        <sz val="14"/>
        <color rgb="FF000000"/>
        <rFont val="Calibri"/>
        <family val="2"/>
        <charset val="1"/>
      </rPr>
      <t xml:space="preserve">. Já em relação a redução de jornada, </t>
    </r>
    <r>
      <rPr>
        <b val="true"/>
        <u val="single"/>
        <sz val="14"/>
        <color rgb="FF000000"/>
        <rFont val="Calibri"/>
        <family val="2"/>
        <charset val="1"/>
      </rPr>
      <t xml:space="preserve">entendemos que deva ser de 2 horas independentemente do número de dias</t>
    </r>
    <r>
      <rPr>
        <sz val="14"/>
        <color rgb="FF000000"/>
        <rFont val="Calibri"/>
        <family val="2"/>
        <charset val="1"/>
      </rPr>
      <t xml:space="preserve"> de aviso trabalhado.</t>
    </r>
  </si>
  <si>
    <t xml:space="preserve">Exemplo</t>
  </si>
  <si>
    <t xml:space="preserve">Empregado (com um ano de emprego) recebeu a comunicação de desligamento em 01.07.2011, optou pela falta ao serviço durante os últimos 7 (sete) dias corridos. Neste caso, considerando o início da contagem dos 30 dias em 02.07.2011 (dia seguinte ao da comunicação), o término do aviso e consequentemente a baixa na CTPS foi em 31.07.2011, embora o mesmo só trabalhe até 24.07.2011.</t>
  </si>
  <si>
    <t xml:space="preserve">Neste caso, a data de pagamento das verbas rescisórias será o dia seguinte ao término do aviso, ou seja, 01.08.2011.</t>
  </si>
  <si>
    <t xml:space="preserve">FONTE: www.guiatrabalhista.com.br</t>
  </si>
  <si>
    <t xml:space="preserve">FALTAS LEGAIS</t>
  </si>
  <si>
    <t xml:space="preserve">Limite de Faltas</t>
  </si>
  <si>
    <t xml:space="preserve">Motivo</t>
  </si>
  <si>
    <t xml:space="preserve">Colunas1</t>
  </si>
  <si>
    <t xml:space="preserve">Colunas2</t>
  </si>
  <si>
    <t xml:space="preserve">até 2 dias consecutivos</t>
  </si>
  <si>
    <t xml:space="preserve">Falecimento de cônjuge, ascendente, descendente, irmão ou pessoa que, declarada em sua CTPS, viva sob sua dependência econômica.</t>
  </si>
  <si>
    <t xml:space="preserve">até 3 dias consecutivos</t>
  </si>
  <si>
    <t xml:space="preserve">Casamento</t>
  </si>
  <si>
    <t xml:space="preserve">5 dias, no decorrer da primeira semana</t>
  </si>
  <si>
    <t xml:space="preserve">Nascimento de Filho (Este inciso fica tacitamente revogado em virtude do inciso XIX do art. 7º da CF/88 que instituiu a Licença-Paternidade e pelo § 1º do Art. 10 da ADCT/88 que fixou o prazo para 5 (cinco) dias.)</t>
  </si>
  <si>
    <t xml:space="preserve">1 dia em cada 12 meses de trabalho</t>
  </si>
  <si>
    <t xml:space="preserve">Doação voluntária de sangue devidamente comprovada</t>
  </si>
  <si>
    <t xml:space="preserve">até 2 dias consecutivos ou não</t>
  </si>
  <si>
    <t xml:space="preserve">Alistamento eleitoral</t>
  </si>
  <si>
    <t xml:space="preserve">até 9 dias</t>
  </si>
  <si>
    <t xml:space="preserve">gala ou luto, em conseqüência de falecimento do cônjuge, do pai ou mãe, ou de filho de professor</t>
  </si>
  <si>
    <t xml:space="preserve">---</t>
  </si>
  <si>
    <t xml:space="preserve">Dias em que estiver comprovadamente realizando provas do exame vestibular em estabelecimento de ensino superior</t>
  </si>
  <si>
    <t xml:space="preserve">No período de tempo em que tiver de cumprir as exigências do Serviço Militar (art. 65 letra "c" da Lei nº 4375/64)</t>
  </si>
  <si>
    <t xml:space="preserve">Apresentar-se, anualmente, no local e data que forem fixados, para fins de exercício de apresentação das reservas ou cerimônia cívica do Dia do Reservista.</t>
  </si>
  <si>
    <t xml:space="preserve">Ausências decorrentes de exercícios ou manobras, pelo convocado matriculado em órgão de formação de reserva (art.60 § 4º da Lei º 4375/64)</t>
  </si>
  <si>
    <t xml:space="preserve">Ausência do empregado, justificada, a critério do empregador</t>
  </si>
  <si>
    <t xml:space="preserve">Paralisação dos serviços nos dias em que, por conveniência do empregador, não tenha havido trabalho.</t>
  </si>
  <si>
    <t xml:space="preserve">Falta ao serviço por acidente de trabalho</t>
  </si>
  <si>
    <t xml:space="preserve">2 semanas</t>
  </si>
  <si>
    <t xml:space="preserve">Aborto não criminoso, comprovado por atestado médico oficial</t>
  </si>
  <si>
    <t xml:space="preserve">até 15 dias</t>
  </si>
  <si>
    <t xml:space="preserve">Doença, devidamente comprovada por atestado médico (1)</t>
  </si>
  <si>
    <t xml:space="preserve">Comparecimento necessário, como parte, à Justiça do Trabalho</t>
  </si>
  <si>
    <t xml:space="preserve">Comparecimento para depor na Justiça, quando devidamente arrolado ou convocado como testemunha</t>
  </si>
  <si>
    <t xml:space="preserve">Comparecimento às sessões do júri, como jurado sorteado</t>
  </si>
  <si>
    <t xml:space="preserve">Ausências dos representantes dos trabalhadores no Conselho Curador do FGTS, decorrentes de atividades desse órgão</t>
  </si>
  <si>
    <t xml:space="preserve">Convocação para o serviço eleitoral</t>
  </si>
  <si>
    <t xml:space="preserve">PLANILHA DE CUSTO </t>
  </si>
  <si>
    <t xml:space="preserve">Hospital de Retaguarda de Rondônia - HRRO</t>
  </si>
  <si>
    <t xml:space="preserve">ITEM</t>
  </si>
  <si>
    <t xml:space="preserve">UNIDADE</t>
  </si>
  <si>
    <t xml:space="preserve">SUBGRUPO</t>
  </si>
  <si>
    <t xml:space="preserve">GRUPO</t>
  </si>
  <si>
    <t xml:space="preserve">QUANTIDADE
MENSAL</t>
  </si>
  <si>
    <t xml:space="preserve">QUANTIDADE
TOTAL
MENSAL</t>
  </si>
  <si>
    <t xml:space="preserve">QUANTIDADE TOTAL ANUAL</t>
  </si>
  <si>
    <t xml:space="preserve">VALOR
UNITÁRIO</t>
  </si>
  <si>
    <t xml:space="preserve">VALOR
MENSAL</t>
  </si>
  <si>
    <t xml:space="preserve">VALOR
ANUAL </t>
  </si>
  <si>
    <t xml:space="preserve">KG</t>
  </si>
  <si>
    <t xml:space="preserve">A</t>
  </si>
  <si>
    <t xml:space="preserve">A1</t>
  </si>
  <si>
    <t xml:space="preserve">A3</t>
  </si>
  <si>
    <t xml:space="preserve">A4 </t>
  </si>
  <si>
    <t xml:space="preserve">B</t>
  </si>
  <si>
    <t xml:space="preserve">-</t>
  </si>
  <si>
    <t xml:space="preserve">E</t>
  </si>
  <si>
    <t xml:space="preserve">VALOR TOTAL :</t>
  </si>
  <si>
    <t xml:space="preserve">POSTOS DE SERVIÇO</t>
  </si>
  <si>
    <t xml:space="preserve">Item</t>
  </si>
  <si>
    <t xml:space="preserve">Dias de Funcionamento</t>
  </si>
  <si>
    <t xml:space="preserve">Horário</t>
  </si>
  <si>
    <t xml:space="preserve">Local</t>
  </si>
  <si>
    <t xml:space="preserve">Período</t>
  </si>
  <si>
    <t xml:space="preserve">Especificação</t>
  </si>
  <si>
    <t xml:space="preserve">Quantidades de Postos</t>
  </si>
  <si>
    <t xml:space="preserve">Segunda a Segunda</t>
  </si>
  <si>
    <t xml:space="preserve">7h às 19h</t>
  </si>
  <si>
    <t xml:space="preserve">Centro Cirúrgico/CME/Sala de estabilização/Clinicas
</t>
  </si>
  <si>
    <t xml:space="preserve">Diurno</t>
  </si>
  <si>
    <t xml:space="preserve">01 profissional por posto em escala de 12x36</t>
  </si>
  <si>
    <t xml:space="preserve">TOTAL DE POSTOS </t>
  </si>
  <si>
    <t xml:space="preserve">VALOR MENSAL DOS SERVIÇOS</t>
  </si>
  <si>
    <t xml:space="preserve">TIPO DE SERVIÇO </t>
  </si>
  <si>
    <t xml:space="preserve">VALOR POR EMPREGADO
</t>
  </si>
  <si>
    <t xml:space="preserve">QUANTIDADE DE EMPREGADO POR FUNÇÃO</t>
  </si>
  <si>
    <t xml:space="preserve">VALOR MENSAL</t>
  </si>
  <si>
    <t xml:space="preserve">VALOR ANUAL </t>
  </si>
  <si>
    <t xml:space="preserve">Agente de Coleta - Diurno </t>
  </si>
  <si>
    <t xml:space="preserve">Responsavel Tecnico</t>
  </si>
  <si>
    <t xml:space="preserve">VALOR TOTAL</t>
  </si>
  <si>
    <t xml:space="preserve"> </t>
  </si>
  <si>
    <t xml:space="preserve">Data de apresentação da proposta (mês/ano)</t>
  </si>
  <si>
    <t xml:space="preserve">ESPECIFICAÇÃO</t>
  </si>
  <si>
    <t xml:space="preserve">Prestação de serviços de coleta interna e externa, recolhimento, transporte, tratamento e destinação final dos Resíduos de Serviços de Saúde – RSS (Grupos A, B e E).</t>
  </si>
  <si>
    <t xml:space="preserve">C</t>
  </si>
  <si>
    <t xml:space="preserve">Ano Acordo, Convenção ou Sentença Normativa em Dissídio Coletivo</t>
  </si>
  <si>
    <t xml:space="preserve">RO000003/2025</t>
  </si>
  <si>
    <r>
      <rPr>
        <sz val="11"/>
        <rFont val="Calibri"/>
        <family val="2"/>
        <charset val="1"/>
      </rPr>
      <t xml:space="preserve">N</t>
    </r>
    <r>
      <rPr>
        <strike val="true"/>
        <sz val="11"/>
        <rFont val="Calibri"/>
        <family val="2"/>
        <charset val="1"/>
      </rPr>
      <t xml:space="preserve">º</t>
    </r>
    <r>
      <rPr>
        <sz val="11"/>
        <rFont val="Calibri"/>
        <family val="2"/>
        <charset val="1"/>
      </rPr>
      <t xml:space="preserve"> de meses de execução contratual</t>
    </r>
  </si>
  <si>
    <t xml:space="preserve">Identificação do Serviço</t>
  </si>
  <si>
    <t xml:space="preserve">Anexo III-A – Mão-de-obra</t>
  </si>
  <si>
    <t xml:space="preserve">Mão-de-obra vinculada à execução contratual</t>
  </si>
  <si>
    <t xml:space="preserve">Dados complementares para composição dos custos referente à mão-de-obra</t>
  </si>
  <si>
    <t xml:space="preserve">Valor (R$)</t>
  </si>
  <si>
    <t xml:space="preserve">Tipo de serviço (mesmo serviço com características distintas)</t>
  </si>
  <si>
    <t xml:space="preserve">Serviços de coleta interna e externa, recolhimento, transporte, tratamento e destinação final dos Resíduos de Serviços de Saúde – RSS (Grupos A, B e E).</t>
  </si>
  <si>
    <t xml:space="preserve">Salário Normativo da Categoria Profissional</t>
  </si>
  <si>
    <t xml:space="preserve">Categoria profissional (vinculada à execução contratual)</t>
  </si>
  <si>
    <t xml:space="preserve">Agente de Coleta de Resíduo Hospitalar - Diurno </t>
  </si>
  <si>
    <t xml:space="preserve">Data base da categoria (dia/mês/ano)</t>
  </si>
  <si>
    <t xml:space="preserve">MÓDULO 1 : COMPOSIÇÃO DA REMUNERAÇÃO</t>
  </si>
  <si>
    <t xml:space="preserve">Composição da Remuneração</t>
  </si>
  <si>
    <t xml:space="preserve">Salário</t>
  </si>
  <si>
    <t xml:space="preserve">Adicional de Periculosidade</t>
  </si>
  <si>
    <t xml:space="preserve">30% sobre o salário</t>
  </si>
  <si>
    <t xml:space="preserve">Adicional de Insalubridade</t>
  </si>
  <si>
    <t xml:space="preserve">40% * 1.621,00</t>
  </si>
  <si>
    <t xml:space="preserve">D</t>
  </si>
  <si>
    <t xml:space="preserve">Adicional Noturno</t>
  </si>
  <si>
    <t xml:space="preserve">20% sobre  a hora diurna</t>
  </si>
  <si>
    <t xml:space="preserve">Adicional de Hora Noturna Reduzida</t>
  </si>
  <si>
    <t xml:space="preserve">H. Extra (+50%) ou H. Normal + 20% de adiconal</t>
  </si>
  <si>
    <t xml:space="preserve">F</t>
  </si>
  <si>
    <t xml:space="preserve">INTERVALO INTRAJORNADA</t>
  </si>
  <si>
    <t xml:space="preserve">G</t>
  </si>
  <si>
    <t xml:space="preserve">DSR INTRAJORNADA</t>
  </si>
  <si>
    <t xml:space="preserve">TOTAL DO MÓDULO 1</t>
  </si>
  <si>
    <t xml:space="preserve"> MÓDULO 2: BENEFÍCIOS MENSAIS E DIÁRIOS</t>
  </si>
  <si>
    <t xml:space="preserve">DÉCIMO TERCEIRO SALÁRIO, FÉRIAS E ADICIONAL DE FÉRIAS</t>
  </si>
  <si>
    <t xml:space="preserve">BASE DE CÁLCULO</t>
  </si>
  <si>
    <t xml:space="preserve">13 º Salário</t>
  </si>
  <si>
    <t xml:space="preserve">Férias e Adicional de Férias </t>
  </si>
  <si>
    <t xml:space="preserve">TOTAL</t>
  </si>
  <si>
    <t xml:space="preserve">Base de cálculo: De acordo com a instrução normativa nº 05/2017 anexo VII nota 3, a base de cálculo neste módulo deverá ser a soma: MÓDULO 1 + SUBMÓDULO 2.1. </t>
  </si>
  <si>
    <t xml:space="preserve">2.1</t>
  </si>
  <si>
    <t xml:space="preserve">Encargos previdenciários e FGTS</t>
  </si>
  <si>
    <r>
      <rPr>
        <b val="true"/>
        <sz val="11"/>
        <rFont val="Calibri"/>
        <family val="2"/>
        <charset val="1"/>
      </rPr>
      <t xml:space="preserve">INSS</t>
    </r>
    <r>
      <rPr>
        <sz val="11"/>
        <rFont val="Calibri"/>
        <family val="2"/>
        <charset val="1"/>
      </rPr>
      <t xml:space="preserve"> (20%)</t>
    </r>
  </si>
  <si>
    <r>
      <rPr>
        <b val="true"/>
        <sz val="11"/>
        <rFont val="Calibri"/>
        <family val="2"/>
        <charset val="1"/>
      </rPr>
      <t xml:space="preserve">SALÁRIO EDUCAÇÃO</t>
    </r>
    <r>
      <rPr>
        <sz val="11"/>
        <rFont val="Calibri"/>
        <family val="2"/>
        <charset val="1"/>
      </rPr>
      <t xml:space="preserve"> (2,5%)</t>
    </r>
  </si>
  <si>
    <r>
      <rPr>
        <b val="true"/>
        <sz val="11"/>
        <rFont val="Calibri"/>
        <family val="2"/>
        <charset val="1"/>
      </rPr>
      <t xml:space="preserve">RAT X SAT (Conforme GFIP)</t>
    </r>
    <r>
      <rPr>
        <sz val="11"/>
        <rFont val="Calibri"/>
        <family val="2"/>
        <charset val="1"/>
      </rPr>
      <t xml:space="preserve"> (Riscos Ambientais do Trabalho) (Sat/Inss(médio)) (Riscos: Leve 1,0%, Médio 2,0%, Grave 3,0% - veja Decreto 3048/99 - Anexo V (CNAE de 1% a 3% FAP de 0,5 a 2,0)</t>
    </r>
  </si>
  <si>
    <r>
      <rPr>
        <b val="true"/>
        <sz val="11"/>
        <rFont val="Calibri"/>
        <family val="2"/>
        <charset val="1"/>
      </rPr>
      <t xml:space="preserve">SESI OU SESC</t>
    </r>
    <r>
      <rPr>
        <sz val="11"/>
        <rFont val="Calibri"/>
        <family val="2"/>
        <charset val="1"/>
      </rPr>
      <t xml:space="preserve"> (1,5%)</t>
    </r>
  </si>
  <si>
    <r>
      <rPr>
        <b val="true"/>
        <sz val="11"/>
        <rFont val="Calibri"/>
        <family val="2"/>
        <charset val="1"/>
      </rPr>
      <t xml:space="preserve">SENAI OU SENAC</t>
    </r>
    <r>
      <rPr>
        <sz val="11"/>
        <rFont val="Calibri"/>
        <family val="2"/>
        <charset val="1"/>
      </rPr>
      <t xml:space="preserve"> (1,0%)</t>
    </r>
  </si>
  <si>
    <t xml:space="preserve">SEBRAE</t>
  </si>
  <si>
    <r>
      <rPr>
        <b val="true"/>
        <sz val="11"/>
        <rFont val="Calibri"/>
        <family val="2"/>
        <charset val="1"/>
      </rPr>
      <t xml:space="preserve">INCRA </t>
    </r>
    <r>
      <rPr>
        <sz val="11"/>
        <rFont val="Calibri"/>
        <family val="2"/>
        <charset val="1"/>
      </rPr>
      <t xml:space="preserve">(0,20% ou  2,7%) - IN nº971, MPS/SRP/2009, Anexo I e II ver código da Tabela</t>
    </r>
  </si>
  <si>
    <t xml:space="preserve">H</t>
  </si>
  <si>
    <t xml:space="preserve">FGTS (8,0%) </t>
  </si>
  <si>
    <t xml:space="preserve">Submódulo 2.3 – Beneficios Mensais</t>
  </si>
  <si>
    <t xml:space="preserve">2.3</t>
  </si>
  <si>
    <t xml:space="preserve">BENEFÍCIOS MENSAIS E DIÁRIOS </t>
  </si>
  <si>
    <t xml:space="preserve">Transporte</t>
  </si>
  <si>
    <t xml:space="preserve">Auxílio alimentação </t>
  </si>
  <si>
    <t xml:space="preserve">Assistência médica e familiar </t>
  </si>
  <si>
    <t xml:space="preserve">Auxílio creche </t>
  </si>
  <si>
    <t xml:space="preserve">1.974,30*50%*0,0199*2/12</t>
  </si>
  <si>
    <t xml:space="preserve">Seguro de vida </t>
  </si>
  <si>
    <t xml:space="preserve">TOTAL DE BENEFÍCIOS MENSAIS E DIÁRIOS</t>
  </si>
  <si>
    <t xml:space="preserve">Quadro resumo dos beneficios</t>
  </si>
  <si>
    <t xml:space="preserve">13º Salário, Férias e Adicional de Férias</t>
  </si>
  <si>
    <t xml:space="preserve">2.2</t>
  </si>
  <si>
    <t xml:space="preserve">GPS, FGTS e outras contribuições</t>
  </si>
  <si>
    <t xml:space="preserve">Beneficios diários e mensais</t>
  </si>
  <si>
    <t xml:space="preserve">TOTAL DO MÓDULO 2</t>
  </si>
  <si>
    <t xml:space="preserve">MÓDULO 3 - PROVISÃO PARA RESCISÃO</t>
  </si>
  <si>
    <t xml:space="preserve">3.0</t>
  </si>
  <si>
    <t xml:space="preserve">Provisão para Rescisão</t>
  </si>
  <si>
    <t xml:space="preserve">Aviso prévio indenizado</t>
  </si>
  <si>
    <t xml:space="preserve">Incidência do FGTS sobre aviso prévio indenizado (8%)</t>
  </si>
  <si>
    <t xml:space="preserve">Aviso prévio trabalhado</t>
  </si>
  <si>
    <t xml:space="preserve">Incidência do submódulo 2.2 sobre aviso prévio trabalhado (36,80% sobre o valor do Aviso Prévio Trabalhado)</t>
  </si>
  <si>
    <t xml:space="preserve">Multa sobre FGTS e Contribuição Social sobre o Aviso Prévio Indenizado e sobre o Aviso Prévio Trabalhado. (Alterado Conf. Lei nº 13.932/2019)</t>
  </si>
  <si>
    <t xml:space="preserve">TOTAL DO MÓDULO 3</t>
  </si>
  <si>
    <t xml:space="preserve">MÓDULO 4 – CUSTO DE REPOSIÇÃO DO PROFISSIONAL AUSENTE</t>
  </si>
  <si>
    <t xml:space="preserve">4.1</t>
  </si>
  <si>
    <t xml:space="preserve">Submódulo 4.1 - Ausências Legais</t>
  </si>
  <si>
    <t xml:space="preserve">Substituto na Cobertura de Férias (1/12 avos)</t>
  </si>
  <si>
    <t xml:space="preserve">Substituto na Cobertura de Ausências Legais (por doença)</t>
  </si>
  <si>
    <t xml:space="preserve">Substituto na Cobertura de Licença Maternidade</t>
  </si>
  <si>
    <t xml:space="preserve">Substituto na Cobertura de Licença Paternidade</t>
  </si>
  <si>
    <t xml:space="preserve">Substituto na Cobertura de Ausências Legais (faltas legais)</t>
  </si>
  <si>
    <t xml:space="preserve">Substituto na Cobertura Por Acidente de Trabalho</t>
  </si>
  <si>
    <t xml:space="preserve">Outros  (Especificar)</t>
  </si>
  <si>
    <t xml:space="preserve">TOTAL DO SUBMÓDULO 4.1</t>
  </si>
  <si>
    <t xml:space="preserve">Submódulo 4.2 - Intrajornada</t>
  </si>
  <si>
    <t xml:space="preserve">Intervalo para Repouso ou Alimentação</t>
  </si>
  <si>
    <t xml:space="preserve">TOTAL DO SUBMÓDULO 4.2</t>
  </si>
  <si>
    <t xml:space="preserve"> QUADRO-RESUMO DO MÓDULO 4 - CUSTO DE REPOSIÇÃO DO PROFISSIONAL AUSENTE</t>
  </si>
  <si>
    <t xml:space="preserve">Módulo 4 – Encargos sociais e trabalhistas</t>
  </si>
  <si>
    <t xml:space="preserve">4.2</t>
  </si>
  <si>
    <t xml:space="preserve">TOTAL DO MÓDULO 4</t>
  </si>
  <si>
    <t xml:space="preserve">MÓDULO 5 - INSUMOS DIVERSOS</t>
  </si>
  <si>
    <t xml:space="preserve">Insumos Diversos</t>
  </si>
  <si>
    <t xml:space="preserve">Uniformes e EPIs</t>
  </si>
  <si>
    <t xml:space="preserve">Materiais</t>
  </si>
  <si>
    <t xml:space="preserve">Equipamentos</t>
  </si>
  <si>
    <t xml:space="preserve">Outros</t>
  </si>
  <si>
    <t xml:space="preserve">TOTAL DO MÓDULO 5</t>
  </si>
  <si>
    <t xml:space="preserve">(M-T)      CUSTO TOTAL DA PLANILHA PARA EFEITO DE CÁLCULO DO MÓDULO 5 (M1+M2+M3+M4+M5)</t>
  </si>
  <si>
    <t xml:space="preserve">MÓDULO 6 – CUSTOS INDIRETOS, TRIBUTOS E LUCRO </t>
  </si>
  <si>
    <t xml:space="preserve">Custos Indiretos, Tributos e Lucro</t>
  </si>
  <si>
    <t xml:space="preserve">Custos Indiretos</t>
  </si>
  <si>
    <t xml:space="preserve">Lucro (MT + M5.A)</t>
  </si>
  <si>
    <t xml:space="preserve">Subtotal  para   efeito  de  cálculo  dos Tributos  (MT + MA + MB) FATURAMENTO [(100-8,65)/100]</t>
  </si>
  <si>
    <t xml:space="preserve">Tributos</t>
  </si>
  <si>
    <t xml:space="preserve">C.1</t>
  </si>
  <si>
    <t xml:space="preserve">Tributos federais </t>
  </si>
  <si>
    <t xml:space="preserve">C.1.1</t>
  </si>
  <si>
    <t xml:space="preserve">PIS </t>
  </si>
  <si>
    <t xml:space="preserve">C.1.2</t>
  </si>
  <si>
    <t xml:space="preserve">COFINS</t>
  </si>
  <si>
    <t xml:space="preserve">C.2</t>
  </si>
  <si>
    <t xml:space="preserve">Tributos municipais (ISS/ISSQN)</t>
  </si>
  <si>
    <t xml:space="preserve">TOTAL DOS TRIBUTOS</t>
  </si>
  <si>
    <t xml:space="preserve">TOTAL DOS CUSTOS INDIRETOS, TRIBUTOS E LUCRO</t>
  </si>
  <si>
    <t xml:space="preserve">Mão-de-obra vinculada à execução contratual (valor por empregado)</t>
  </si>
  <si>
    <t xml:space="preserve">Módulo 1 – Composição da Remuneração</t>
  </si>
  <si>
    <t xml:space="preserve">Módulo 2 – Encargos e Benefícios Anuais, Mensais e Diários</t>
  </si>
  <si>
    <t xml:space="preserve">Módulo 3 – Provisão para Rescisão</t>
  </si>
  <si>
    <t xml:space="preserve">Módulo 4 – Custo de Reposição do Profissional Ausente</t>
  </si>
  <si>
    <t xml:space="preserve">Módulo 5 – Insumos Diversos</t>
  </si>
  <si>
    <t xml:space="preserve">Subtotal  (A+B+C+D+E)</t>
  </si>
  <si>
    <t xml:space="preserve">Módulo 6 – Custos indiretos, tributos e lucro</t>
  </si>
  <si>
    <t xml:space="preserve">VALOR TOTAL POR EMPREGADO</t>
  </si>
  <si>
    <t xml:space="preserve">Férias e Adicional de Férias</t>
  </si>
  <si>
    <t xml:space="preserve">Subtotal (A+B+C+D+E)</t>
  </si>
  <si>
    <t xml:space="preserve">INFORMAÇÃO: </t>
  </si>
  <si>
    <t xml:space="preserve">Informo que os dados utilizados para calcular a estimativa do "Salário Normativo da Categoria Profissional" para o respectivo objeto foram obtidos do Processo 0036.001738/2023-81, especificamente na Proposta - Empresa AR PURO AMBIENTAL AJUSTADA (0040576714).Esse procedimento foi adotado devido à ausência de acordo, convenção ou sentença normativa em dissídio coletivo para a categoria em questão.</t>
  </si>
  <si>
    <t xml:space="preserve"> Equipamentos de Proteção Individual</t>
  </si>
  <si>
    <t xml:space="preserve">Nº de Ordem </t>
  </si>
  <si>
    <t xml:space="preserve">Unidade</t>
  </si>
  <si>
    <t xml:space="preserve">Quantidade Mensal</t>
  </si>
  <si>
    <t xml:space="preserve">Quantidade Anual</t>
  </si>
  <si>
    <t xml:space="preserve">Vida Útil (Meses)</t>
  </si>
  <si>
    <t xml:space="preserve">Valor Unitário</t>
  </si>
  <si>
    <t xml:space="preserve">Valor Total Anual</t>
  </si>
  <si>
    <t xml:space="preserve">Valor Total Mensal</t>
  </si>
  <si>
    <t xml:space="preserve">Avental manga longa impermeável de pvc profissional de alta qualidade</t>
  </si>
  <si>
    <t xml:space="preserve">Unidades</t>
  </si>
  <si>
    <t xml:space="preserve">Bota de borracha cano longo</t>
  </si>
  <si>
    <t xml:space="preserve">Par</t>
  </si>
  <si>
    <t xml:space="preserve">Avental impermeável</t>
  </si>
  <si>
    <t xml:space="preserve">Luvas de borracha cano longo com Certificado de aprovação</t>
  </si>
  <si>
    <t xml:space="preserve">Máscara respirador semifaciais N95 - classe PFF-2</t>
  </si>
  <si>
    <t xml:space="preserve">Máscara cirúrgica descartável tripla caixa com 50 unidades</t>
  </si>
  <si>
    <t xml:space="preserve">Caixas</t>
  </si>
  <si>
    <t xml:space="preserve">Óculos de proteção</t>
  </si>
  <si>
    <t xml:space="preserve">Touca descartável - pacote com 100 unidades</t>
  </si>
  <si>
    <t xml:space="preserve">Pacotes</t>
  </si>
  <si>
    <t xml:space="preserve">Uniforme (calça e camisa)</t>
  </si>
  <si>
    <t xml:space="preserve">Conjunto</t>
  </si>
  <si>
    <t xml:space="preserve">MATERIAIS</t>
  </si>
  <si>
    <t xml:space="preserve">Consumo Mensal</t>
  </si>
  <si>
    <t xml:space="preserve">Ordem</t>
  </si>
  <si>
    <t xml:space="preserve">Descrição</t>
  </si>
  <si>
    <t xml:space="preserve">Álcool em gel 70%</t>
  </si>
  <si>
    <t xml:space="preserve">Litros</t>
  </si>
  <si>
    <t xml:space="preserve">Álcool líquido 70%</t>
  </si>
  <si>
    <t xml:space="preserve">Caixa de Perfuro cortante</t>
  </si>
  <si>
    <t xml:space="preserve">Detergente líquido - galão de 5 litros</t>
  </si>
  <si>
    <t xml:space="preserve">Galão</t>
  </si>
  <si>
    <t xml:space="preserve">Esponja de limpeza méd. 110 mm x 75mm x 20mm</t>
  </si>
  <si>
    <t xml:space="preserve">Hipoclorito de sódio a 1%</t>
  </si>
  <si>
    <t xml:space="preserve">Sabão em pó alvejante - embalagem 1 kg</t>
  </si>
  <si>
    <t xml:space="preserve">kg</t>
  </si>
  <si>
    <t xml:space="preserve">Saco de Lixo infectante 50L amarelo</t>
  </si>
  <si>
    <t xml:space="preserve">Saco de Lixo infectante 50L branco </t>
  </si>
  <si>
    <t xml:space="preserve">Saco de lixo infectante 50L vermelho</t>
  </si>
  <si>
    <t xml:space="preserve">Saco de lixo infectante 100L vermelho</t>
  </si>
  <si>
    <t xml:space="preserve">Saco de lixo infectante 100L branco</t>
  </si>
  <si>
    <t xml:space="preserve">TOTAL MENSAL POR SERVENTE</t>
  </si>
  <si>
    <t xml:space="preserve">INFORMAÇÃO :</t>
  </si>
  <si>
    <t xml:space="preserve">Álcool Gel 70% - O valor cotado para o referido item foi R$ 6,20 todavia, o valor corresponde a embalagem com 500 ml, sendo assim, devido o fato de o TR solicitar em litros, o valor unitário corresponde a R$6,20*2 =12,40 .</t>
  </si>
  <si>
    <t xml:space="preserve">Saco de Lixo infectante 50L amarelo  - O valor cotado para o referido item foi R$63,23, todavia, o valor corresponde a pacote com 100 unidades, sendo assim, devido o fato de o TR solicitar em unidade, o valor unitário corresponde a R$63,23/100 = 0,63.</t>
  </si>
  <si>
    <t xml:space="preserve">Saco de Lixo infectante 50L branco - O valor cotado para o referido item foi R$16,20, todavia, o valor corresponde a pacote com 100 unidades, sendo assim, devido o fato de o TR solicitar em unidade, o valor unitário corresponde a R$16,20/100 = 0,16.</t>
  </si>
  <si>
    <t xml:space="preserve">Saco de lixo infectante 100L vermelho - O valor cotado para o referido item foi R$104,90, todavia, o valor corresponde a pacote com 100 unidades, sendo assim, devido o fato de o TR solicitar em unidade, o valor unitário corresponde a R$104,90/100 = 1,05 .</t>
  </si>
  <si>
    <t xml:space="preserve">Saco de lixo infectante 100L branco  - O valor cotado para o referido item foi R$45,09, todavia, o valor corresponde a pacote com 100 unidades, sendo assim, devido o fato de o TR solicitar em unidade, o valor unitário corresponde a R$45,09/100 = 0,45.</t>
  </si>
  <si>
    <t xml:space="preserve">Material Permanente </t>
  </si>
  <si>
    <t xml:space="preserve">Quantidade</t>
  </si>
  <si>
    <t xml:space="preserve">Bombonas de 200 litros, em PEAD, com boca larga, cor branca, tampa rosqueada e vedante, devidamente identificada, para abrigo externo para os resíduos do Grupo A.</t>
  </si>
  <si>
    <t xml:space="preserve">Bombonas de 200 litros, em PEAD, com boca larga, cor laranja, tampa rosqueada e vedante, devidamente identificada, para abrigo externo para os resíduos do Grupo B.</t>
  </si>
  <si>
    <t xml:space="preserve">Bombonas de 200 litros, em PEAD, com boca larga, cor amarela, tampa rosqueada e vedante, devidamente identificada, para abrigo externo para os resíduos do Grupo E.</t>
  </si>
  <si>
    <t xml:space="preserve">Carros de 240L com tampa para transporte interno de Resíduos</t>
  </si>
  <si>
    <t xml:space="preserve">Coletor para lâmpadas fluorescentes tubulares e compactas, em material resistente, cor laranja, devidamente identificada.</t>
  </si>
  <si>
    <t xml:space="preserve">Galão de 20 litros, em material plástico resistente, cor laranja, com tampa rosqueada e vedante, devidamente identificado, para descarte de líquidos dos laboratórios.</t>
  </si>
  <si>
    <t xml:space="preserve">Lixeira com tampa/pedal de 50L cor branca, devidamente identificada, para descarte de resíduo do grupo A</t>
  </si>
  <si>
    <t xml:space="preserve">Lixeira com tampa/pedal de 100L, devidamente identificada, para descarte de resíduo do grupo A</t>
  </si>
  <si>
    <t xml:space="preserve">Recipiente coletor de pilhas e baterias (papa pilhas), cor laranja, devidamente identificado, orifícios pequenos, que permitam somente a entrada destes resíduos, com suporte para fixação em parede.</t>
  </si>
  <si>
    <t xml:space="preserve">Suporte de caixa de perfurocortante</t>
  </si>
  <si>
    <t xml:space="preserve">EQUIPAMENTOS</t>
  </si>
  <si>
    <t xml:space="preserve">Balança eletrônica grande até 300kg</t>
  </si>
  <si>
    <t xml:space="preserve">Impressora p/ etiqueta</t>
  </si>
  <si>
    <t xml:space="preserve">Equipamento frigorífico/freezer horizontal em comodato
-  Câmara  Climática  Com  Controle  De  Umidade  -  340  Litros  - SolidSteel;
- Capacidade: 340 Litros;
- Material: Aço Inoxidável;
- Temperatura mínima: -18 ºC;
- Degelo: Automático (regulável com necessidade);
- Voltagem: 110/220V Bifásico.</t>
  </si>
  <si>
    <t xml:space="preserve">Veículo Furgão</t>
  </si>
  <si>
    <r>
      <rPr>
        <sz val="11"/>
        <color theme="1"/>
        <rFont val="Calibri"/>
        <family val="2"/>
        <charset val="1"/>
      </rPr>
      <t xml:space="preserve">O Termo de Referência, no item 19.4 – Infraestrutura e Equipamentos, estabelece que a empresa contratada deve possuir infraestrutura adequada, incluindo veículos, equipamentos de coleta e tratamento, além de instalações para processamento temporário e destinação final dos resíduos.
Diante disso, ficou definido que o veículo furgão será cotado por lote. A unidade em questão faz parte do Lote I, composto por três unidades: Hospital Pronto Socorro João Paulo II (JPII), Assistência Médica Intensiva (AMI) e Hospital de Retaguarda de Rondônia (HRRO).
</t>
    </r>
    <r>
      <rPr>
        <sz val="11"/>
        <color rgb="FF000000"/>
        <rFont val="Calibri"/>
        <family val="2"/>
        <charset val="1"/>
      </rPr>
      <t xml:space="preserve">O valor total do veículo, de R$ 289.990,00, será dividido igualmente entre essas unidades, resultando em um custo de R$ 96.663,33 para cada uma.</t>
    </r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</si>
</sst>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-&quot;R$ &quot;* #,##0.00_-;&quot;-R$ &quot;* #,##0.00_-;_-&quot;R$ &quot;* \-??_-;_-@_-"/>
    <numFmt numFmtId="166" formatCode="0.00"/>
    <numFmt numFmtId="167" formatCode="&quot;R$ &quot;#,##0.00"/>
    <numFmt numFmtId="168" formatCode="00"/>
    <numFmt numFmtId="169" formatCode="0%"/>
    <numFmt numFmtId="170" formatCode="0.000%"/>
    <numFmt numFmtId="171" formatCode="#,##0.00"/>
    <numFmt numFmtId="172" formatCode="d/m/yyyy"/>
    <numFmt numFmtId="173" formatCode="0.00%"/>
    <numFmt numFmtId="174" formatCode="0"/>
    <numFmt numFmtId="175" formatCode="_-* #,##0.00_-;\-* #,##0.00_-;_-* \-??_-;_-@_-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Arial"/>
      <family val="2"/>
      <charset val="1"/>
    </font>
    <font>
      <b val="true"/>
      <sz val="8"/>
      <color rgb="FF000000"/>
      <name val="Verdana"/>
      <family val="2"/>
      <charset val="1"/>
    </font>
    <font>
      <b val="true"/>
      <sz val="16"/>
      <color rgb="FF002060"/>
      <name val="Calibri"/>
      <family val="2"/>
      <charset val="1"/>
    </font>
    <font>
      <sz val="14"/>
      <color theme="1"/>
      <name val="Calibri"/>
      <family val="2"/>
      <charset val="1"/>
    </font>
    <font>
      <sz val="8"/>
      <color rgb="FF000000"/>
      <name val="Verdana"/>
      <family val="2"/>
      <charset val="1"/>
    </font>
    <font>
      <b val="true"/>
      <sz val="8"/>
      <color rgb="FFFF0000"/>
      <name val="Verdana"/>
      <family val="2"/>
      <charset val="1"/>
    </font>
    <font>
      <sz val="14"/>
      <color rgb="FF000000"/>
      <name val="Times New Roman"/>
      <family val="1"/>
      <charset val="1"/>
    </font>
    <font>
      <sz val="10"/>
      <color rgb="FF000000"/>
      <name val="Verdana"/>
      <family val="2"/>
      <charset val="1"/>
    </font>
    <font>
      <u val="single"/>
      <sz val="10"/>
      <color rgb="FF0000FF"/>
      <name val="Arial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u val="single"/>
      <sz val="14"/>
      <color rgb="FF000000"/>
      <name val="Calibri"/>
      <family val="2"/>
      <charset val="1"/>
    </font>
    <font>
      <b val="true"/>
      <sz val="14"/>
      <color rgb="FF000000"/>
      <name val="Times New Roman"/>
      <family val="1"/>
      <charset val="1"/>
    </font>
    <font>
      <b val="true"/>
      <sz val="11"/>
      <color theme="1"/>
      <name val="Calibri"/>
      <family val="2"/>
      <charset val="1"/>
    </font>
    <font>
      <b val="true"/>
      <sz val="14"/>
      <color rgb="FFFF0000"/>
      <name val="Arial"/>
      <family val="2"/>
      <charset val="1"/>
    </font>
    <font>
      <b val="true"/>
      <sz val="14"/>
      <color rgb="FF3366FF"/>
      <name val="Trebuchet MS"/>
      <family val="2"/>
      <charset val="1"/>
    </font>
    <font>
      <b val="true"/>
      <sz val="14"/>
      <color rgb="FFFF0000"/>
      <name val="Trebuchet MS"/>
      <family val="2"/>
      <charset val="1"/>
    </font>
    <font>
      <sz val="10"/>
      <name val="Times New Roman"/>
      <family val="1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Times New Roman"/>
      <family val="1"/>
      <charset val="1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strike val="true"/>
      <sz val="11"/>
      <name val="Calibri"/>
      <family val="2"/>
      <charset val="1"/>
    </font>
    <font>
      <b val="true"/>
      <sz val="11"/>
      <color theme="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0000FF"/>
      <name val="Calibri"/>
      <family val="2"/>
      <charset val="1"/>
    </font>
    <font>
      <b val="true"/>
      <sz val="11"/>
      <name val="Times New Roman"/>
      <family val="1"/>
      <charset val="1"/>
    </font>
    <font>
      <u val="singl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9" tint="0.3999"/>
        <bgColor rgb="FFC5E0B4"/>
      </patternFill>
    </fill>
    <fill>
      <patternFill patternType="solid">
        <fgColor theme="9" tint="0.5999"/>
        <bgColor rgb="FFA9D18E"/>
      </patternFill>
    </fill>
    <fill>
      <patternFill patternType="solid">
        <fgColor theme="5" tint="0.3999"/>
        <bgColor rgb="FFFF99CC"/>
      </patternFill>
    </fill>
    <fill>
      <patternFill patternType="solid">
        <fgColor theme="0" tint="-0.25"/>
        <bgColor rgb="FFAFABAB"/>
      </patternFill>
    </fill>
    <fill>
      <patternFill patternType="solid">
        <fgColor theme="2" tint="-0.25"/>
        <bgColor rgb="FFBFBFBF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justify" vertical="bottom" textRotation="0" wrapText="tru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9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3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3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3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4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4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4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4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4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5" fillId="0" borderId="1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5" fillId="0" borderId="17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3" fillId="4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2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3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2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3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3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70" fontId="28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6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27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2" borderId="27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6" xfId="23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3" fillId="2" borderId="25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25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2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23" fillId="2" borderId="2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6" xfId="2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4" fillId="2" borderId="25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2" borderId="25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6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2" fontId="23" fillId="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8" borderId="2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2" borderId="16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23" fillId="2" borderId="2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4" fillId="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0" fillId="2" borderId="16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0" fontId="23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3" fillId="2" borderId="16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4" fillId="2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6" borderId="2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2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7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7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7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23" fillId="7" borderId="2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2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6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5" borderId="2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23" fillId="5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5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2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2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23" fillId="0" borderId="2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6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3" fontId="23" fillId="5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2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7" borderId="24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7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2" borderId="24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2" borderId="1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4" fillId="2" borderId="1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2" borderId="2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2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6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0" fontId="23" fillId="0" borderId="16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2" borderId="1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2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5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3" fillId="6" borderId="1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1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4" fillId="2" borderId="1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6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23" fillId="5" borderId="1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2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3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4" fillId="0" borderId="16" xfId="2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0" fontId="23" fillId="0" borderId="16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3" fillId="7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4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4" fillId="0" borderId="2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3" borderId="2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3" borderId="2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1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3" fillId="2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1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1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24" fillId="2" borderId="2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4" fillId="2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2" borderId="1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24" fillId="0" borderId="1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2" borderId="1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2" borderId="2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24" fillId="0" borderId="2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4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25" fillId="0" borderId="2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5" fillId="2" borderId="1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0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5" fillId="2" borderId="1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5" fillId="2" borderId="2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25" fillId="0" borderId="1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4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0" borderId="1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2" borderId="1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2" borderId="17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5" fillId="5" borderId="6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35" fillId="5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2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3" fillId="4" borderId="2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3" fillId="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25" fillId="2" borderId="24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7" fontId="24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2" borderId="1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24" fillId="2" borderId="2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24" fillId="0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5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25" fillId="2" borderId="14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5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5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7" fontId="24" fillId="0" borderId="15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7" fontId="24" fillId="2" borderId="1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24" fillId="2" borderId="1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23" fillId="5" borderId="2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23" fillId="5" borderId="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23" fillId="5" borderId="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3" fillId="5" borderId="3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23" fillId="4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5" fillId="0" borderId="26" xfId="2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5" fillId="0" borderId="27" xfId="2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4" fillId="0" borderId="27" xfId="2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4" fillId="0" borderId="31" xfId="2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3" fillId="5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3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0" fillId="0" borderId="24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0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0" borderId="16" xfId="17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7" fontId="0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2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24" fillId="2" borderId="24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4" fillId="2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7" fontId="24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2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24" fillId="2" borderId="35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4" fillId="0" borderId="3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0" borderId="36" xfId="17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7" fontId="24" fillId="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25" fillId="0" borderId="24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5" fillId="0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4" fillId="2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4" fillId="2" borderId="3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24" fillId="2" borderId="3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3" fillId="5" borderId="3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4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5" fillId="2" borderId="20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4" fillId="2" borderId="4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2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5" fillId="2" borderId="4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7" fontId="24" fillId="0" borderId="41" xfId="17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7" fontId="0" fillId="2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5" borderId="4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1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Normal 3" xfId="22"/>
    <cellStyle name="Normal 4" xfId="23"/>
    <cellStyle name="Normal 5" xfId="24"/>
    <cellStyle name="Normal 6" xfId="25"/>
    <cellStyle name="*unknown*" xfId="20" builtinId="8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A9D18E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ela2" displayName="Tabela2" ref="A3:B22" headerRowCount="1" totalsRowCount="0" totalsRowShown="0">
  <autoFilter ref="A3:B22"/>
  <tableColumns count="2">
    <tableColumn id="1" name="Colunas1"/>
    <tableColumn id="2" name="Colunas2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../../AppData/Local/Temp/17%20Instrucao%20Normativa%2002_2008%20Servicos%20Continuados/0%20LEGISLACAO%20GERAL/IN%2003_2005%20MSP_SRP/AnexoII_IN03.rtf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../../AppData/Local/Temp/17%20Instrucao%20Normativa%2002_2008%20Servicos%20Continuados/0%20LEGISLACAO%20GERAL/IN%2003_2005%20MSP_SRP/AnexoII_IN03.rt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0"/>
  <sheetViews>
    <sheetView showFormulas="false" showGridLines="true" showRowColHeaders="true" showZeros="true" rightToLeft="false" tabSelected="false" showOutlineSymbols="true" defaultGridColor="true" view="pageBreakPreview" topLeftCell="B1" colorId="64" zoomScale="100" zoomScaleNormal="145" zoomScalePageLayoutView="100" workbookViewId="0">
      <selection pane="topLeft" activeCell="E8" activeCellId="0" sqref="E8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3.86"/>
    <col collapsed="false" customWidth="true" hidden="false" outlineLevel="0" max="2" min="2" style="1" width="15.42"/>
    <col collapsed="false" customWidth="true" hidden="false" outlineLevel="0" max="3" min="3" style="1" width="19.29"/>
    <col collapsed="false" customWidth="true" hidden="false" outlineLevel="0" max="5" min="5" style="1" width="59"/>
  </cols>
  <sheetData>
    <row r="1" customFormat="false" ht="20.85" hidden="false" customHeight="false" outlineLevel="0" collapsed="false">
      <c r="E1" s="2" t="s">
        <v>0</v>
      </c>
    </row>
    <row r="2" customFormat="false" ht="19.7" hidden="false" customHeight="false" outlineLevel="0" collapsed="false">
      <c r="A2" s="3" t="s">
        <v>1</v>
      </c>
      <c r="B2" s="3"/>
      <c r="C2" s="3"/>
      <c r="E2" s="4" t="s">
        <v>2</v>
      </c>
    </row>
    <row r="3" customFormat="false" ht="174" hidden="false" customHeight="true" outlineLevel="0" collapsed="false">
      <c r="A3" s="5" t="s">
        <v>3</v>
      </c>
      <c r="B3" s="5"/>
      <c r="C3" s="5"/>
      <c r="E3" s="6" t="s">
        <v>4</v>
      </c>
    </row>
    <row r="4" customFormat="false" ht="18.75" hidden="false" customHeight="true" outlineLevel="0" collapsed="false">
      <c r="A4" s="7"/>
      <c r="E4" s="8"/>
    </row>
    <row r="5" customFormat="false" ht="15.75" hidden="false" customHeight="true" outlineLevel="0" collapsed="false">
      <c r="A5" s="9" t="s">
        <v>5</v>
      </c>
      <c r="B5" s="9"/>
      <c r="C5" s="9"/>
      <c r="E5" s="10" t="s">
        <v>6</v>
      </c>
    </row>
    <row r="6" customFormat="false" ht="15" hidden="false" customHeight="false" outlineLevel="0" collapsed="false">
      <c r="A6" s="9" t="s">
        <v>7</v>
      </c>
      <c r="B6" s="9" t="s">
        <v>8</v>
      </c>
      <c r="C6" s="11" t="s">
        <v>9</v>
      </c>
      <c r="E6" s="10" t="s">
        <v>10</v>
      </c>
    </row>
    <row r="7" customFormat="false" ht="15.75" hidden="false" customHeight="true" outlineLevel="0" collapsed="false">
      <c r="A7" s="9"/>
      <c r="B7" s="9"/>
      <c r="C7" s="12" t="s">
        <v>11</v>
      </c>
      <c r="E7" s="10" t="s">
        <v>12</v>
      </c>
    </row>
    <row r="8" customFormat="false" ht="15" hidden="false" customHeight="false" outlineLevel="0" collapsed="false">
      <c r="A8" s="13" t="s">
        <v>13</v>
      </c>
      <c r="B8" s="11" t="n">
        <v>30</v>
      </c>
      <c r="C8" s="11" t="n">
        <v>7</v>
      </c>
      <c r="D8" s="1" t="n">
        <f aca="false">(7/30)/12</f>
        <v>0.0194444444444444</v>
      </c>
      <c r="E8" s="14" t="s">
        <v>14</v>
      </c>
    </row>
    <row r="9" customFormat="false" ht="13.5" hidden="false" customHeight="true" outlineLevel="0" collapsed="false">
      <c r="A9" s="15" t="s">
        <v>15</v>
      </c>
      <c r="B9" s="16" t="n">
        <v>33</v>
      </c>
      <c r="C9" s="16" t="n">
        <v>8</v>
      </c>
      <c r="D9" s="1" t="n">
        <f aca="false">(3/30)/12</f>
        <v>0.00833333333333333</v>
      </c>
    </row>
    <row r="10" customFormat="false" ht="13.5" hidden="false" customHeight="true" outlineLevel="0" collapsed="false">
      <c r="A10" s="15" t="s">
        <v>16</v>
      </c>
      <c r="B10" s="16" t="n">
        <v>36</v>
      </c>
      <c r="C10" s="16" t="n">
        <v>8</v>
      </c>
      <c r="D10" s="1" t="n">
        <f aca="false">(3/30)/12</f>
        <v>0.00833333333333333</v>
      </c>
    </row>
    <row r="11" customFormat="false" ht="13.5" hidden="false" customHeight="true" outlineLevel="0" collapsed="false">
      <c r="A11" s="15" t="s">
        <v>17</v>
      </c>
      <c r="B11" s="16" t="n">
        <v>39</v>
      </c>
      <c r="C11" s="16" t="n">
        <v>9</v>
      </c>
      <c r="D11" s="1" t="n">
        <f aca="false">(3/30)/12</f>
        <v>0.00833333333333333</v>
      </c>
    </row>
    <row r="12" customFormat="false" ht="13.5" hidden="false" customHeight="true" outlineLevel="0" collapsed="false">
      <c r="A12" s="17" t="s">
        <v>18</v>
      </c>
      <c r="B12" s="18" t="n">
        <v>42</v>
      </c>
      <c r="C12" s="18" t="n">
        <v>10</v>
      </c>
      <c r="D12" s="1" t="n">
        <f aca="false">(3/30)/12</f>
        <v>0.00833333333333333</v>
      </c>
    </row>
    <row r="13" customFormat="false" ht="13.5" hidden="false" customHeight="true" outlineLevel="0" collapsed="false">
      <c r="A13" s="15" t="s">
        <v>19</v>
      </c>
      <c r="B13" s="16" t="n">
        <v>45</v>
      </c>
      <c r="C13" s="16" t="n">
        <v>11</v>
      </c>
      <c r="D13" s="1" t="n">
        <f aca="false">(3/30)/12</f>
        <v>0.00833333333333333</v>
      </c>
      <c r="E13" s="1" t="s">
        <v>20</v>
      </c>
    </row>
    <row r="14" customFormat="false" ht="15" hidden="false" customHeight="false" outlineLevel="0" collapsed="false">
      <c r="A14" s="15" t="s">
        <v>21</v>
      </c>
      <c r="B14" s="16" t="n">
        <v>48</v>
      </c>
      <c r="C14" s="16" t="n">
        <v>11</v>
      </c>
      <c r="E14" s="1" t="s">
        <v>22</v>
      </c>
    </row>
    <row r="15" customFormat="false" ht="15" hidden="false" customHeight="false" outlineLevel="0" collapsed="false">
      <c r="A15" s="15" t="s">
        <v>23</v>
      </c>
      <c r="B15" s="16" t="n">
        <v>51</v>
      </c>
      <c r="C15" s="16" t="n">
        <v>12</v>
      </c>
    </row>
    <row r="16" customFormat="false" ht="15" hidden="false" customHeight="false" outlineLevel="0" collapsed="false">
      <c r="A16" s="15" t="s">
        <v>24</v>
      </c>
      <c r="B16" s="16" t="n">
        <v>54</v>
      </c>
      <c r="C16" s="16" t="n">
        <v>13</v>
      </c>
    </row>
    <row r="17" customFormat="false" ht="15" hidden="false" customHeight="false" outlineLevel="0" collapsed="false">
      <c r="A17" s="15" t="s">
        <v>25</v>
      </c>
      <c r="B17" s="16" t="n">
        <v>57</v>
      </c>
      <c r="C17" s="16" t="n">
        <v>13</v>
      </c>
    </row>
    <row r="18" customFormat="false" ht="15" hidden="false" customHeight="false" outlineLevel="0" collapsed="false">
      <c r="A18" s="15" t="s">
        <v>26</v>
      </c>
      <c r="B18" s="16" t="n">
        <v>60</v>
      </c>
      <c r="C18" s="16" t="n">
        <v>14</v>
      </c>
    </row>
    <row r="19" customFormat="false" ht="15" hidden="false" customHeight="false" outlineLevel="0" collapsed="false">
      <c r="A19" s="15" t="s">
        <v>27</v>
      </c>
      <c r="B19" s="16" t="n">
        <v>63</v>
      </c>
      <c r="C19" s="16" t="n">
        <v>15</v>
      </c>
    </row>
    <row r="20" customFormat="false" ht="15" hidden="false" customHeight="false" outlineLevel="0" collapsed="false">
      <c r="A20" s="15" t="s">
        <v>28</v>
      </c>
      <c r="B20" s="16" t="n">
        <v>66</v>
      </c>
      <c r="C20" s="16" t="n">
        <v>15</v>
      </c>
    </row>
    <row r="21" customFormat="false" ht="15" hidden="false" customHeight="false" outlineLevel="0" collapsed="false">
      <c r="A21" s="15" t="s">
        <v>29</v>
      </c>
      <c r="B21" s="16" t="n">
        <v>69</v>
      </c>
      <c r="C21" s="16" t="n">
        <v>16</v>
      </c>
    </row>
    <row r="22" customFormat="false" ht="15" hidden="false" customHeight="false" outlineLevel="0" collapsed="false">
      <c r="A22" s="15" t="s">
        <v>30</v>
      </c>
      <c r="B22" s="16" t="n">
        <v>72</v>
      </c>
      <c r="C22" s="16" t="n">
        <v>17</v>
      </c>
    </row>
    <row r="23" customFormat="false" ht="15" hidden="false" customHeight="false" outlineLevel="0" collapsed="false">
      <c r="A23" s="15" t="s">
        <v>31</v>
      </c>
      <c r="B23" s="16" t="n">
        <v>75</v>
      </c>
      <c r="C23" s="16" t="n">
        <v>18</v>
      </c>
    </row>
    <row r="24" customFormat="false" ht="15" hidden="false" customHeight="false" outlineLevel="0" collapsed="false">
      <c r="A24" s="15" t="s">
        <v>32</v>
      </c>
      <c r="B24" s="16" t="n">
        <v>78</v>
      </c>
      <c r="C24" s="16" t="n">
        <v>18</v>
      </c>
    </row>
    <row r="25" customFormat="false" ht="15" hidden="false" customHeight="false" outlineLevel="0" collapsed="false">
      <c r="A25" s="15" t="s">
        <v>33</v>
      </c>
      <c r="B25" s="16" t="n">
        <v>81</v>
      </c>
      <c r="C25" s="16" t="n">
        <v>19</v>
      </c>
    </row>
    <row r="26" customFormat="false" ht="15" hidden="false" customHeight="false" outlineLevel="0" collapsed="false">
      <c r="A26" s="15" t="s">
        <v>34</v>
      </c>
      <c r="B26" s="16" t="n">
        <v>84</v>
      </c>
      <c r="C26" s="16" t="n">
        <v>20</v>
      </c>
    </row>
    <row r="27" customFormat="false" ht="15" hidden="false" customHeight="false" outlineLevel="0" collapsed="false">
      <c r="A27" s="15" t="s">
        <v>35</v>
      </c>
      <c r="B27" s="16" t="n">
        <v>87</v>
      </c>
      <c r="C27" s="16" t="n">
        <v>20</v>
      </c>
    </row>
    <row r="28" customFormat="false" ht="15" hidden="false" customHeight="false" outlineLevel="0" collapsed="false">
      <c r="A28" s="19" t="s">
        <v>36</v>
      </c>
      <c r="B28" s="12" t="n">
        <v>90</v>
      </c>
      <c r="C28" s="12" t="n">
        <v>21</v>
      </c>
      <c r="E28" s="20" t="s">
        <v>37</v>
      </c>
    </row>
    <row r="29" customFormat="false" ht="17.35" hidden="false" customHeight="false" outlineLevel="0" collapsed="false">
      <c r="A29" s="7"/>
    </row>
    <row r="30" customFormat="false" ht="145.5" hidden="false" customHeight="true" outlineLevel="0" collapsed="false">
      <c r="A30" s="21" t="s">
        <v>38</v>
      </c>
      <c r="B30" s="21"/>
      <c r="C30" s="21"/>
    </row>
    <row r="31" customFormat="false" ht="17.35" hidden="false" customHeight="false" outlineLevel="0" collapsed="false">
      <c r="A31" s="7"/>
    </row>
    <row r="32" customFormat="false" ht="17.35" hidden="false" customHeight="false" outlineLevel="0" collapsed="false">
      <c r="A32" s="22" t="s">
        <v>39</v>
      </c>
    </row>
    <row r="33" customFormat="false" ht="17.35" hidden="false" customHeight="false" outlineLevel="0" collapsed="false">
      <c r="A33" s="7"/>
    </row>
    <row r="34" customFormat="false" ht="15" hidden="false" customHeight="false" outlineLevel="0" collapsed="false">
      <c r="A34" s="5" t="s">
        <v>40</v>
      </c>
      <c r="B34" s="5"/>
      <c r="C34" s="5"/>
    </row>
    <row r="35" customFormat="false" ht="15" hidden="false" customHeight="false" outlineLevel="0" collapsed="false">
      <c r="A35" s="5"/>
      <c r="B35" s="5"/>
      <c r="C35" s="5"/>
    </row>
    <row r="36" customFormat="false" ht="15" hidden="false" customHeight="false" outlineLevel="0" collapsed="false">
      <c r="A36" s="5" t="s">
        <v>41</v>
      </c>
      <c r="B36" s="5"/>
      <c r="C36" s="5"/>
    </row>
    <row r="37" customFormat="false" ht="15" hidden="false" customHeight="false" outlineLevel="0" collapsed="false">
      <c r="A37" s="5"/>
      <c r="B37" s="5"/>
      <c r="C37" s="5"/>
    </row>
    <row r="40" customFormat="false" ht="15" hidden="false" customHeight="false" outlineLevel="0" collapsed="false">
      <c r="A40" s="23" t="s">
        <v>42</v>
      </c>
    </row>
  </sheetData>
  <mergeCells count="8">
    <mergeCell ref="A2:C2"/>
    <mergeCell ref="A3:C3"/>
    <mergeCell ref="A5:C5"/>
    <mergeCell ref="A6:A7"/>
    <mergeCell ref="B6:B7"/>
    <mergeCell ref="A30:C30"/>
    <mergeCell ref="A34:C35"/>
    <mergeCell ref="A36:C37"/>
  </mergeCells>
  <hyperlinks>
    <hyperlink ref="E28" location="'ADAPTAÇÃO A IN 06_13'!B77" display="VOLTAR PLANILHA PRINCIPAL"/>
  </hyperlink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"/>
  <sheetViews>
    <sheetView showFormulas="false" showGridLines="true" showRowColHeaders="true" showZeros="true" rightToLeft="false" tabSelected="false" showOutlineSymbols="true" defaultGridColor="true" view="pageBreakPreview" topLeftCell="A7" colorId="64" zoomScale="100" zoomScaleNormal="100" zoomScalePageLayoutView="100" workbookViewId="0">
      <selection pane="topLeft" activeCell="E8" activeCellId="0" sqref="E8"/>
    </sheetView>
  </sheetViews>
  <sheetFormatPr defaultColWidth="42.859375" defaultRowHeight="18.75" customHeight="true" zeroHeight="false" outlineLevelRow="0" outlineLevelCol="0"/>
  <cols>
    <col collapsed="false" customWidth="false" hidden="false" outlineLevel="0" max="1" min="1" style="24" width="42.86"/>
    <col collapsed="false" customWidth="true" hidden="false" outlineLevel="0" max="2" min="2" style="24" width="72.57"/>
    <col collapsed="false" customWidth="false" hidden="false" outlineLevel="0" max="16384" min="3" style="25" width="42.86"/>
  </cols>
  <sheetData>
    <row r="1" customFormat="false" ht="18.75" hidden="false" customHeight="true" outlineLevel="0" collapsed="false">
      <c r="A1" s="26" t="s">
        <v>43</v>
      </c>
      <c r="B1" s="26"/>
    </row>
    <row r="2" customFormat="false" ht="18.75" hidden="false" customHeight="false" outlineLevel="0" collapsed="false">
      <c r="A2" s="27" t="s">
        <v>44</v>
      </c>
      <c r="B2" s="27" t="s">
        <v>45</v>
      </c>
    </row>
    <row r="3" customFormat="false" ht="18.75" hidden="false" customHeight="false" outlineLevel="0" collapsed="false">
      <c r="A3" s="28" t="s">
        <v>46</v>
      </c>
      <c r="B3" s="29" t="s">
        <v>47</v>
      </c>
    </row>
    <row r="4" customFormat="false" ht="50.7" hidden="false" customHeight="false" outlineLevel="0" collapsed="false">
      <c r="A4" s="30" t="s">
        <v>48</v>
      </c>
      <c r="B4" s="31" t="s">
        <v>49</v>
      </c>
    </row>
    <row r="5" customFormat="false" ht="18.75" hidden="false" customHeight="false" outlineLevel="0" collapsed="false">
      <c r="A5" s="30" t="s">
        <v>50</v>
      </c>
      <c r="B5" s="31" t="s">
        <v>51</v>
      </c>
    </row>
    <row r="6" customFormat="false" ht="67.15" hidden="false" customHeight="false" outlineLevel="0" collapsed="false">
      <c r="A6" s="30" t="s">
        <v>52</v>
      </c>
      <c r="B6" s="31" t="s">
        <v>53</v>
      </c>
    </row>
    <row r="7" customFormat="false" ht="34.3" hidden="false" customHeight="false" outlineLevel="0" collapsed="false">
      <c r="A7" s="30" t="s">
        <v>54</v>
      </c>
      <c r="B7" s="31" t="s">
        <v>55</v>
      </c>
    </row>
    <row r="8" customFormat="false" ht="18.75" hidden="false" customHeight="false" outlineLevel="0" collapsed="false">
      <c r="A8" s="30" t="s">
        <v>56</v>
      </c>
      <c r="B8" s="31" t="s">
        <v>57</v>
      </c>
    </row>
    <row r="9" customFormat="false" ht="34.3" hidden="false" customHeight="false" outlineLevel="0" collapsed="false">
      <c r="A9" s="30" t="s">
        <v>58</v>
      </c>
      <c r="B9" s="31" t="s">
        <v>59</v>
      </c>
    </row>
    <row r="10" customFormat="false" ht="50.7" hidden="false" customHeight="false" outlineLevel="0" collapsed="false">
      <c r="A10" s="30" t="s">
        <v>60</v>
      </c>
      <c r="B10" s="31" t="s">
        <v>61</v>
      </c>
    </row>
    <row r="11" customFormat="false" ht="67.15" hidden="false" customHeight="false" outlineLevel="0" collapsed="false">
      <c r="A11" s="30" t="s">
        <v>62</v>
      </c>
      <c r="B11" s="31" t="s">
        <v>63</v>
      </c>
    </row>
    <row r="12" customFormat="false" ht="50.7" hidden="false" customHeight="false" outlineLevel="0" collapsed="false">
      <c r="A12" s="30" t="s">
        <v>60</v>
      </c>
      <c r="B12" s="31" t="s">
        <v>64</v>
      </c>
    </row>
    <row r="13" customFormat="false" ht="34.3" hidden="false" customHeight="false" outlineLevel="0" collapsed="false">
      <c r="A13" s="30" t="s">
        <v>60</v>
      </c>
      <c r="B13" s="31" t="s">
        <v>65</v>
      </c>
    </row>
    <row r="14" customFormat="false" ht="34.3" hidden="false" customHeight="false" outlineLevel="0" collapsed="false">
      <c r="A14" s="30" t="s">
        <v>60</v>
      </c>
      <c r="B14" s="31" t="s">
        <v>66</v>
      </c>
    </row>
    <row r="15" customFormat="false" ht="18.75" hidden="false" customHeight="false" outlineLevel="0" collapsed="false">
      <c r="A15" s="30" t="s">
        <v>60</v>
      </c>
      <c r="B15" s="31" t="s">
        <v>67</v>
      </c>
    </row>
    <row r="16" customFormat="false" ht="34.3" hidden="false" customHeight="false" outlineLevel="0" collapsed="false">
      <c r="A16" s="30" t="s">
        <v>68</v>
      </c>
      <c r="B16" s="31" t="s">
        <v>69</v>
      </c>
    </row>
    <row r="17" customFormat="false" ht="34.3" hidden="false" customHeight="false" outlineLevel="0" collapsed="false">
      <c r="A17" s="30" t="s">
        <v>70</v>
      </c>
      <c r="B17" s="31" t="s">
        <v>71</v>
      </c>
    </row>
    <row r="18" customFormat="false" ht="34.3" hidden="false" customHeight="false" outlineLevel="0" collapsed="false">
      <c r="A18" s="30" t="s">
        <v>60</v>
      </c>
      <c r="B18" s="31" t="s">
        <v>72</v>
      </c>
    </row>
    <row r="19" customFormat="false" ht="34.3" hidden="false" customHeight="false" outlineLevel="0" collapsed="false">
      <c r="A19" s="30" t="s">
        <v>60</v>
      </c>
      <c r="B19" s="31" t="s">
        <v>73</v>
      </c>
    </row>
    <row r="20" customFormat="false" ht="34.3" hidden="false" customHeight="false" outlineLevel="0" collapsed="false">
      <c r="A20" s="30" t="s">
        <v>60</v>
      </c>
      <c r="B20" s="31" t="s">
        <v>74</v>
      </c>
    </row>
    <row r="21" customFormat="false" ht="50.7" hidden="false" customHeight="false" outlineLevel="0" collapsed="false">
      <c r="A21" s="30" t="s">
        <v>60</v>
      </c>
      <c r="B21" s="31" t="s">
        <v>75</v>
      </c>
    </row>
    <row r="22" customFormat="false" ht="18.75" hidden="false" customHeight="false" outlineLevel="0" collapsed="false">
      <c r="A22" s="32" t="s">
        <v>60</v>
      </c>
      <c r="B22" s="33" t="s">
        <v>76</v>
      </c>
    </row>
  </sheetData>
  <mergeCells count="1">
    <mergeCell ref="A1:B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2"/>
  <sheetViews>
    <sheetView showFormulas="false" showGridLines="true" showRowColHeaders="true" showZeros="true" rightToLeft="false" tabSelected="false" showOutlineSymbols="true" defaultGridColor="true" view="pageBreakPreview" topLeftCell="A4" colorId="64" zoomScale="100" zoomScaleNormal="100" zoomScalePageLayoutView="100" workbookViewId="0">
      <selection pane="topLeft" activeCell="K11" activeCellId="0" sqref="K1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34" width="5.71"/>
    <col collapsed="false" customWidth="true" hidden="false" outlineLevel="0" max="2" min="2" style="35" width="25.71"/>
    <col collapsed="false" customWidth="true" hidden="false" outlineLevel="0" max="4" min="3" style="35" width="15.71"/>
    <col collapsed="false" customWidth="true" hidden="false" outlineLevel="0" max="11" min="5" style="34" width="15.71"/>
    <col collapsed="false" customWidth="false" hidden="false" outlineLevel="0" max="16384" min="12" style="34" width="9.14"/>
  </cols>
  <sheetData>
    <row r="1" customFormat="false" ht="15" hidden="false" customHeight="true" outlineLevel="0" collapsed="false">
      <c r="A1" s="36" t="s">
        <v>77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customFormat="false" ht="15" hidden="false" customHeight="true" outlineLevel="0" collapsed="false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customFormat="false" ht="15" hidden="false" customHeight="true" outlineLevel="0" collapsed="false">
      <c r="A3" s="38" t="s">
        <v>78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customFormat="false" ht="45" hidden="false" customHeight="true" outlineLevel="0" collapsed="false">
      <c r="A4" s="39" t="s">
        <v>79</v>
      </c>
      <c r="B4" s="40" t="s">
        <v>80</v>
      </c>
      <c r="C4" s="40" t="s">
        <v>80</v>
      </c>
      <c r="D4" s="41" t="s">
        <v>81</v>
      </c>
      <c r="E4" s="40" t="s">
        <v>82</v>
      </c>
      <c r="F4" s="40" t="s">
        <v>83</v>
      </c>
      <c r="G4" s="40" t="s">
        <v>84</v>
      </c>
      <c r="H4" s="40" t="s">
        <v>85</v>
      </c>
      <c r="I4" s="42" t="s">
        <v>86</v>
      </c>
      <c r="J4" s="42" t="s">
        <v>87</v>
      </c>
      <c r="K4" s="43" t="s">
        <v>88</v>
      </c>
    </row>
    <row r="5" customFormat="false" ht="15.75" hidden="false" customHeight="true" outlineLevel="0" collapsed="false">
      <c r="A5" s="44" t="n">
        <v>3</v>
      </c>
      <c r="B5" s="45" t="s">
        <v>78</v>
      </c>
      <c r="C5" s="45" t="s">
        <v>89</v>
      </c>
      <c r="D5" s="46" t="s">
        <v>90</v>
      </c>
      <c r="E5" s="46" t="s">
        <v>91</v>
      </c>
      <c r="F5" s="47" t="n">
        <v>1302.28</v>
      </c>
      <c r="G5" s="48" t="n">
        <f aca="false">SUM(F5:F9)</f>
        <v>1783.95</v>
      </c>
      <c r="H5" s="48" t="n">
        <f aca="false">G5*12</f>
        <v>21407.4</v>
      </c>
      <c r="I5" s="49" t="n">
        <f aca="false">J5/G5</f>
        <v>17.8931406038011</v>
      </c>
      <c r="J5" s="50" t="n">
        <f aca="false">G21</f>
        <v>31920.4681801509</v>
      </c>
      <c r="K5" s="51" t="n">
        <f aca="false">J5*12</f>
        <v>383045.618161811</v>
      </c>
    </row>
    <row r="6" customFormat="false" ht="15.75" hidden="false" customHeight="true" outlineLevel="0" collapsed="false">
      <c r="A6" s="44"/>
      <c r="B6" s="45"/>
      <c r="C6" s="45"/>
      <c r="D6" s="46"/>
      <c r="E6" s="46" t="s">
        <v>92</v>
      </c>
      <c r="F6" s="47" t="n">
        <v>89.2</v>
      </c>
      <c r="G6" s="48"/>
      <c r="H6" s="48"/>
      <c r="I6" s="49"/>
      <c r="J6" s="49"/>
      <c r="K6" s="51"/>
    </row>
    <row r="7" customFormat="false" ht="15.75" hidden="false" customHeight="true" outlineLevel="0" collapsed="false">
      <c r="A7" s="44"/>
      <c r="B7" s="45"/>
      <c r="C7" s="45"/>
      <c r="D7" s="46"/>
      <c r="E7" s="52" t="s">
        <v>93</v>
      </c>
      <c r="F7" s="53" t="n">
        <v>89.2</v>
      </c>
      <c r="G7" s="48"/>
      <c r="H7" s="48"/>
      <c r="I7" s="49"/>
      <c r="J7" s="49"/>
      <c r="K7" s="51"/>
    </row>
    <row r="8" customFormat="false" ht="15.75" hidden="false" customHeight="true" outlineLevel="0" collapsed="false">
      <c r="A8" s="44"/>
      <c r="B8" s="45"/>
      <c r="C8" s="45"/>
      <c r="D8" s="46" t="s">
        <v>94</v>
      </c>
      <c r="E8" s="52" t="s">
        <v>95</v>
      </c>
      <c r="F8" s="53" t="n">
        <v>35.68</v>
      </c>
      <c r="G8" s="48"/>
      <c r="H8" s="48"/>
      <c r="I8" s="49"/>
      <c r="J8" s="49"/>
      <c r="K8" s="51"/>
    </row>
    <row r="9" customFormat="false" ht="15.75" hidden="false" customHeight="true" outlineLevel="0" collapsed="false">
      <c r="A9" s="44"/>
      <c r="B9" s="45"/>
      <c r="C9" s="45"/>
      <c r="D9" s="45" t="s">
        <v>96</v>
      </c>
      <c r="E9" s="45" t="s">
        <v>95</v>
      </c>
      <c r="F9" s="54" t="n">
        <v>267.59</v>
      </c>
      <c r="G9" s="48"/>
      <c r="H9" s="48"/>
      <c r="I9" s="49"/>
      <c r="J9" s="49"/>
      <c r="K9" s="51"/>
    </row>
    <row r="10" customFormat="false" ht="15" hidden="false" customHeight="true" outlineLevel="0" collapsed="false">
      <c r="A10" s="55"/>
      <c r="B10" s="56"/>
      <c r="C10" s="56"/>
      <c r="D10" s="56"/>
      <c r="E10" s="56"/>
      <c r="F10" s="56"/>
      <c r="G10" s="56"/>
      <c r="H10" s="56"/>
      <c r="I10" s="57" t="s">
        <v>97</v>
      </c>
      <c r="J10" s="58" t="n">
        <f aca="false">J5</f>
        <v>31920.4681801509</v>
      </c>
      <c r="K10" s="58" t="n">
        <f aca="false">K5</f>
        <v>383045.618161811</v>
      </c>
    </row>
    <row r="11" customFormat="false" ht="14.25" hidden="false" customHeight="true" outlineLevel="0" collapsed="false">
      <c r="A11" s="59"/>
      <c r="B11" s="60"/>
      <c r="C11" s="60"/>
      <c r="D11" s="60"/>
      <c r="E11" s="60"/>
      <c r="F11" s="60"/>
      <c r="G11" s="60"/>
      <c r="H11" s="60"/>
      <c r="I11" s="60"/>
      <c r="J11" s="60"/>
      <c r="K11" s="61"/>
    </row>
    <row r="12" customFormat="false" ht="15.75" hidden="false" customHeight="true" outlineLevel="0" collapsed="false">
      <c r="A12" s="62" t="s">
        <v>98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3" customFormat="false" ht="30" hidden="false" customHeight="true" outlineLevel="0" collapsed="false">
      <c r="A13" s="39" t="s">
        <v>99</v>
      </c>
      <c r="B13" s="40" t="s">
        <v>100</v>
      </c>
      <c r="C13" s="40" t="s">
        <v>101</v>
      </c>
      <c r="D13" s="40" t="s">
        <v>102</v>
      </c>
      <c r="E13" s="40"/>
      <c r="F13" s="40"/>
      <c r="G13" s="40" t="s">
        <v>103</v>
      </c>
      <c r="H13" s="40" t="s">
        <v>104</v>
      </c>
      <c r="I13" s="40"/>
      <c r="J13" s="40"/>
      <c r="K13" s="63" t="s">
        <v>105</v>
      </c>
    </row>
    <row r="14" customFormat="false" ht="15" hidden="false" customHeight="true" outlineLevel="0" collapsed="false">
      <c r="A14" s="64" t="n">
        <v>1</v>
      </c>
      <c r="B14" s="65" t="s">
        <v>106</v>
      </c>
      <c r="C14" s="65" t="s">
        <v>107</v>
      </c>
      <c r="D14" s="65" t="s">
        <v>108</v>
      </c>
      <c r="E14" s="65"/>
      <c r="F14" s="65"/>
      <c r="G14" s="65" t="s">
        <v>109</v>
      </c>
      <c r="H14" s="65" t="s">
        <v>110</v>
      </c>
      <c r="I14" s="65"/>
      <c r="J14" s="65"/>
      <c r="K14" s="66" t="n">
        <v>1</v>
      </c>
    </row>
    <row r="15" customFormat="false" ht="15.75" hidden="false" customHeight="true" outlineLevel="0" collapsed="false">
      <c r="A15" s="67" t="s">
        <v>111</v>
      </c>
      <c r="B15" s="67"/>
      <c r="C15" s="67"/>
      <c r="D15" s="67"/>
      <c r="E15" s="67"/>
      <c r="F15" s="67"/>
      <c r="G15" s="67"/>
      <c r="H15" s="67"/>
      <c r="I15" s="67"/>
      <c r="J15" s="67"/>
      <c r="K15" s="68" t="n">
        <f aca="false">K14</f>
        <v>1</v>
      </c>
    </row>
    <row r="16" customFormat="false" ht="13.8" hidden="false" customHeight="false" outlineLevel="0" collapsed="false">
      <c r="A16" s="69"/>
      <c r="B16" s="70"/>
      <c r="C16" s="70"/>
      <c r="D16" s="70"/>
      <c r="E16" s="71"/>
      <c r="F16" s="71"/>
      <c r="G16" s="71"/>
      <c r="H16" s="71"/>
      <c r="I16" s="71"/>
      <c r="J16" s="71"/>
      <c r="K16" s="72"/>
    </row>
    <row r="17" customFormat="false" ht="13.8" hidden="false" customHeight="false" outlineLevel="0" collapsed="false">
      <c r="A17" s="36" t="s">
        <v>112</v>
      </c>
      <c r="B17" s="36"/>
      <c r="C17" s="36"/>
      <c r="D17" s="36"/>
      <c r="E17" s="36"/>
      <c r="F17" s="36"/>
      <c r="G17" s="36"/>
      <c r="H17" s="36"/>
      <c r="I17" s="73"/>
      <c r="J17" s="73"/>
      <c r="K17" s="74"/>
    </row>
    <row r="18" customFormat="false" ht="35.05" hidden="false" customHeight="false" outlineLevel="0" collapsed="false">
      <c r="A18" s="39" t="s">
        <v>79</v>
      </c>
      <c r="B18" s="41" t="s">
        <v>113</v>
      </c>
      <c r="C18" s="41"/>
      <c r="D18" s="41"/>
      <c r="E18" s="40" t="s">
        <v>114</v>
      </c>
      <c r="F18" s="40" t="s">
        <v>115</v>
      </c>
      <c r="G18" s="42" t="s">
        <v>116</v>
      </c>
      <c r="H18" s="43" t="s">
        <v>117</v>
      </c>
      <c r="I18" s="75"/>
      <c r="J18" s="76"/>
      <c r="K18" s="77"/>
    </row>
    <row r="19" customFormat="false" ht="13.8" hidden="false" customHeight="false" outlineLevel="0" collapsed="false">
      <c r="A19" s="78" t="n">
        <v>1</v>
      </c>
      <c r="B19" s="79" t="s">
        <v>118</v>
      </c>
      <c r="C19" s="79"/>
      <c r="D19" s="79"/>
      <c r="E19" s="80" t="n">
        <f aca="false">'Agente de Coleta - Diurno '!E112</f>
        <v>11005.2490900754</v>
      </c>
      <c r="F19" s="79" t="n">
        <f aca="false">K14*2</f>
        <v>2</v>
      </c>
      <c r="G19" s="80" t="n">
        <f aca="false">E19*F19</f>
        <v>22010.4981801509</v>
      </c>
      <c r="H19" s="81" t="n">
        <f aca="false">G19*12</f>
        <v>264125.978161811</v>
      </c>
      <c r="I19" s="75"/>
      <c r="J19" s="82"/>
      <c r="K19" s="77"/>
    </row>
    <row r="20" customFormat="false" ht="13.8" hidden="false" customHeight="false" outlineLevel="0" collapsed="false">
      <c r="A20" s="83" t="n">
        <v>2</v>
      </c>
      <c r="B20" s="84" t="s">
        <v>119</v>
      </c>
      <c r="C20" s="84"/>
      <c r="D20" s="84"/>
      <c r="E20" s="85" t="n">
        <f aca="false">'Responsavel Tecnico'!E112</f>
        <v>9909.97</v>
      </c>
      <c r="F20" s="84" t="n">
        <v>1</v>
      </c>
      <c r="G20" s="85" t="n">
        <f aca="false">E20*F20</f>
        <v>9909.97</v>
      </c>
      <c r="H20" s="86" t="n">
        <f aca="false">G20*12</f>
        <v>118919.64</v>
      </c>
      <c r="I20" s="75"/>
      <c r="J20" s="82"/>
      <c r="K20" s="77"/>
    </row>
    <row r="21" customFormat="false" ht="13.8" hidden="false" customHeight="false" outlineLevel="0" collapsed="false">
      <c r="A21" s="87"/>
      <c r="B21" s="87"/>
      <c r="C21" s="87"/>
      <c r="D21" s="87"/>
      <c r="E21" s="87"/>
      <c r="F21" s="88" t="n">
        <f aca="false">SUM(F19:F20)</f>
        <v>3</v>
      </c>
      <c r="G21" s="89" t="n">
        <f aca="false">SUM(G19:G20)</f>
        <v>31920.4681801509</v>
      </c>
      <c r="H21" s="89" t="n">
        <f aca="false">SUM(H19:H20)</f>
        <v>383045.618161811</v>
      </c>
      <c r="I21" s="75"/>
      <c r="J21" s="90"/>
      <c r="K21" s="77"/>
    </row>
    <row r="22" customFormat="false" ht="13.8" hidden="false" customHeight="false" outlineLevel="0" collapsed="false">
      <c r="A22" s="91" t="s">
        <v>120</v>
      </c>
      <c r="B22" s="91"/>
      <c r="C22" s="91"/>
      <c r="D22" s="91"/>
      <c r="E22" s="91"/>
      <c r="F22" s="91"/>
      <c r="G22" s="91"/>
      <c r="H22" s="58" t="n">
        <f aca="false">H21</f>
        <v>383045.618161811</v>
      </c>
      <c r="I22" s="92"/>
      <c r="J22" s="93"/>
      <c r="K22" s="94"/>
    </row>
  </sheetData>
  <mergeCells count="24">
    <mergeCell ref="A1:K1"/>
    <mergeCell ref="A2:K2"/>
    <mergeCell ref="A3:K3"/>
    <mergeCell ref="A5:A9"/>
    <mergeCell ref="B5:B9"/>
    <mergeCell ref="C5:C9"/>
    <mergeCell ref="D5:D7"/>
    <mergeCell ref="G5:G9"/>
    <mergeCell ref="H5:H9"/>
    <mergeCell ref="I5:I9"/>
    <mergeCell ref="J5:J9"/>
    <mergeCell ref="K5:K9"/>
    <mergeCell ref="A12:K12"/>
    <mergeCell ref="D13:F13"/>
    <mergeCell ref="H13:J13"/>
    <mergeCell ref="D14:F14"/>
    <mergeCell ref="H14:J14"/>
    <mergeCell ref="A15:J15"/>
    <mergeCell ref="A17:H17"/>
    <mergeCell ref="B18:D18"/>
    <mergeCell ref="B19:D19"/>
    <mergeCell ref="B20:D20"/>
    <mergeCell ref="A21:E21"/>
    <mergeCell ref="A22:G22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12"/>
  <sheetViews>
    <sheetView showFormulas="false" showGridLines="true" showRowColHeaders="true" showZeros="true" rightToLeft="false" tabSelected="false" showOutlineSymbols="true" defaultGridColor="true" view="pageBreakPreview" topLeftCell="A37" colorId="64" zoomScale="100" zoomScaleNormal="115" zoomScalePageLayoutView="100" workbookViewId="0">
      <selection pane="topLeft" activeCell="E49" activeCellId="0" sqref="E49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95" width="8.71"/>
    <col collapsed="false" customWidth="true" hidden="false" outlineLevel="0" max="2" min="2" style="96" width="70.71"/>
    <col collapsed="false" customWidth="true" hidden="false" outlineLevel="0" max="3" min="3" style="96" width="12.71"/>
    <col collapsed="false" customWidth="true" hidden="false" outlineLevel="0" max="4" min="4" style="97" width="8.71"/>
    <col collapsed="false" customWidth="true" hidden="false" outlineLevel="0" max="5" min="5" style="98" width="12.71"/>
    <col collapsed="false" customWidth="false" hidden="false" outlineLevel="0" max="16384" min="6" style="99" width="9.14"/>
  </cols>
  <sheetData>
    <row r="1" customFormat="false" ht="15.75" hidden="false" customHeight="false" outlineLevel="0" collapsed="false">
      <c r="A1" s="100"/>
      <c r="B1" s="100"/>
      <c r="C1" s="100"/>
      <c r="D1" s="100"/>
      <c r="E1" s="100"/>
    </row>
    <row r="2" s="102" customFormat="true" ht="16.5" hidden="false" customHeight="true" outlineLevel="0" collapsed="false">
      <c r="A2" s="101"/>
      <c r="B2" s="101"/>
      <c r="C2" s="101"/>
      <c r="D2" s="101"/>
      <c r="E2" s="101"/>
    </row>
    <row r="3" s="102" customFormat="true" ht="15.75" hidden="false" customHeight="false" outlineLevel="0" collapsed="false">
      <c r="A3" s="103" t="s">
        <v>121</v>
      </c>
      <c r="B3" s="103"/>
      <c r="C3" s="103"/>
      <c r="D3" s="103"/>
      <c r="E3" s="103"/>
    </row>
    <row r="4" s="102" customFormat="true" ht="15" hidden="false" customHeight="true" outlineLevel="0" collapsed="false">
      <c r="A4" s="104" t="s">
        <v>90</v>
      </c>
      <c r="B4" s="105" t="s">
        <v>122</v>
      </c>
      <c r="C4" s="106" t="n">
        <v>2025</v>
      </c>
      <c r="D4" s="106"/>
      <c r="E4" s="106"/>
    </row>
    <row r="5" s="102" customFormat="true" ht="75" hidden="false" customHeight="true" outlineLevel="0" collapsed="false">
      <c r="A5" s="104" t="s">
        <v>94</v>
      </c>
      <c r="B5" s="105" t="s">
        <v>123</v>
      </c>
      <c r="C5" s="107" t="s">
        <v>124</v>
      </c>
      <c r="D5" s="107"/>
      <c r="E5" s="107"/>
    </row>
    <row r="6" s="102" customFormat="true" ht="15.75" hidden="false" customHeight="true" outlineLevel="0" collapsed="false">
      <c r="A6" s="104" t="s">
        <v>125</v>
      </c>
      <c r="B6" s="105" t="s">
        <v>126</v>
      </c>
      <c r="C6" s="107" t="s">
        <v>127</v>
      </c>
      <c r="D6" s="107"/>
      <c r="E6" s="107"/>
    </row>
    <row r="7" s="102" customFormat="true" ht="15.75" hidden="false" customHeight="false" outlineLevel="0" collapsed="false">
      <c r="A7" s="104"/>
      <c r="B7" s="105" t="s">
        <v>128</v>
      </c>
      <c r="C7" s="107" t="n">
        <v>12</v>
      </c>
      <c r="D7" s="107"/>
      <c r="E7" s="107"/>
    </row>
    <row r="8" s="102" customFormat="true" ht="15.75" hidden="false" customHeight="false" outlineLevel="0" collapsed="false">
      <c r="A8" s="103" t="s">
        <v>129</v>
      </c>
      <c r="B8" s="103"/>
      <c r="C8" s="103"/>
      <c r="D8" s="103"/>
      <c r="E8" s="103"/>
    </row>
    <row r="9" s="102" customFormat="true" ht="15.75" hidden="false" customHeight="false" outlineLevel="0" collapsed="false">
      <c r="A9" s="103" t="s">
        <v>130</v>
      </c>
      <c r="B9" s="103"/>
      <c r="C9" s="103"/>
      <c r="D9" s="103"/>
      <c r="E9" s="103"/>
    </row>
    <row r="10" s="102" customFormat="true" ht="15.75" hidden="false" customHeight="true" outlineLevel="0" collapsed="false">
      <c r="A10" s="103" t="s">
        <v>131</v>
      </c>
      <c r="B10" s="103"/>
      <c r="C10" s="103"/>
      <c r="D10" s="103"/>
      <c r="E10" s="103"/>
    </row>
    <row r="11" s="102" customFormat="true" ht="30" hidden="false" customHeight="true" outlineLevel="0" collapsed="false">
      <c r="A11" s="108" t="s">
        <v>132</v>
      </c>
      <c r="B11" s="108"/>
      <c r="C11" s="108"/>
      <c r="D11" s="108"/>
      <c r="E11" s="109" t="s">
        <v>133</v>
      </c>
    </row>
    <row r="12" s="102" customFormat="true" ht="75" hidden="false" customHeight="true" outlineLevel="0" collapsed="false">
      <c r="A12" s="104" t="n">
        <v>1</v>
      </c>
      <c r="B12" s="110" t="s">
        <v>134</v>
      </c>
      <c r="C12" s="111" t="s">
        <v>135</v>
      </c>
      <c r="D12" s="111"/>
      <c r="E12" s="111"/>
    </row>
    <row r="13" s="102" customFormat="true" ht="30" hidden="false" customHeight="true" outlineLevel="0" collapsed="false">
      <c r="A13" s="104" t="n">
        <v>2</v>
      </c>
      <c r="B13" s="110" t="s">
        <v>136</v>
      </c>
      <c r="C13" s="112" t="n">
        <v>1974.3</v>
      </c>
      <c r="D13" s="112"/>
      <c r="E13" s="112"/>
    </row>
    <row r="14" s="102" customFormat="true" ht="30" hidden="false" customHeight="true" outlineLevel="0" collapsed="false">
      <c r="A14" s="104" t="n">
        <v>3</v>
      </c>
      <c r="B14" s="110" t="s">
        <v>137</v>
      </c>
      <c r="C14" s="111" t="s">
        <v>138</v>
      </c>
      <c r="D14" s="111"/>
      <c r="E14" s="111"/>
    </row>
    <row r="15" s="102" customFormat="true" ht="15.75" hidden="false" customHeight="false" outlineLevel="0" collapsed="false">
      <c r="A15" s="104" t="n">
        <v>4</v>
      </c>
      <c r="B15" s="113" t="s">
        <v>139</v>
      </c>
      <c r="C15" s="114" t="n">
        <v>45673</v>
      </c>
      <c r="D15" s="114"/>
      <c r="E15" s="114"/>
    </row>
    <row r="16" s="116" customFormat="true" ht="15.75" hidden="false" customHeight="false" outlineLevel="0" collapsed="false">
      <c r="A16" s="115" t="s">
        <v>140</v>
      </c>
      <c r="B16" s="115"/>
      <c r="C16" s="115"/>
      <c r="D16" s="115"/>
      <c r="E16" s="115"/>
    </row>
    <row r="17" s="116" customFormat="true" ht="15.75" hidden="false" customHeight="true" outlineLevel="0" collapsed="false">
      <c r="A17" s="108" t="n">
        <v>1</v>
      </c>
      <c r="B17" s="117" t="s">
        <v>141</v>
      </c>
      <c r="C17" s="117"/>
      <c r="D17" s="117"/>
      <c r="E17" s="118" t="s">
        <v>133</v>
      </c>
    </row>
    <row r="18" s="102" customFormat="true" ht="15.75" hidden="false" customHeight="true" outlineLevel="0" collapsed="false">
      <c r="A18" s="119" t="s">
        <v>90</v>
      </c>
      <c r="B18" s="120" t="s">
        <v>142</v>
      </c>
      <c r="C18" s="113"/>
      <c r="D18" s="113"/>
      <c r="E18" s="121" t="n">
        <f aca="false">C13</f>
        <v>1974.3</v>
      </c>
    </row>
    <row r="19" s="102" customFormat="true" ht="15.75" hidden="false" customHeight="true" outlineLevel="0" collapsed="false">
      <c r="A19" s="119" t="s">
        <v>94</v>
      </c>
      <c r="B19" s="120" t="s">
        <v>143</v>
      </c>
      <c r="C19" s="122" t="s">
        <v>144</v>
      </c>
      <c r="D19" s="122"/>
      <c r="E19" s="121"/>
    </row>
    <row r="20" s="102" customFormat="true" ht="15.75" hidden="false" customHeight="true" outlineLevel="0" collapsed="false">
      <c r="A20" s="119" t="s">
        <v>125</v>
      </c>
      <c r="B20" s="120" t="s">
        <v>145</v>
      </c>
      <c r="C20" s="123" t="s">
        <v>146</v>
      </c>
      <c r="D20" s="123"/>
      <c r="E20" s="81" t="n">
        <f aca="false">40%*1621</f>
        <v>648.4</v>
      </c>
    </row>
    <row r="21" s="102" customFormat="true" ht="15.75" hidden="false" customHeight="true" outlineLevel="0" collapsed="false">
      <c r="A21" s="119" t="s">
        <v>147</v>
      </c>
      <c r="B21" s="120" t="s">
        <v>148</v>
      </c>
      <c r="C21" s="122" t="s">
        <v>149</v>
      </c>
      <c r="D21" s="122"/>
      <c r="E21" s="121"/>
    </row>
    <row r="22" s="102" customFormat="true" ht="15.75" hidden="false" customHeight="true" outlineLevel="0" collapsed="false">
      <c r="A22" s="119" t="s">
        <v>96</v>
      </c>
      <c r="B22" s="120" t="s">
        <v>150</v>
      </c>
      <c r="C22" s="122" t="s">
        <v>151</v>
      </c>
      <c r="D22" s="122"/>
      <c r="E22" s="121"/>
    </row>
    <row r="23" s="116" customFormat="true" ht="15.75" hidden="false" customHeight="false" outlineLevel="0" collapsed="false">
      <c r="A23" s="119" t="s">
        <v>152</v>
      </c>
      <c r="B23" s="120" t="s">
        <v>153</v>
      </c>
      <c r="C23" s="124"/>
      <c r="D23" s="124"/>
      <c r="E23" s="121"/>
    </row>
    <row r="24" s="116" customFormat="true" ht="15.75" hidden="false" customHeight="true" outlineLevel="0" collapsed="false">
      <c r="A24" s="119" t="s">
        <v>154</v>
      </c>
      <c r="B24" s="125" t="s">
        <v>155</v>
      </c>
      <c r="C24" s="124"/>
      <c r="D24" s="124"/>
      <c r="E24" s="121"/>
    </row>
    <row r="25" s="102" customFormat="true" ht="15.75" hidden="false" customHeight="true" outlineLevel="0" collapsed="false">
      <c r="A25" s="126" t="s">
        <v>156</v>
      </c>
      <c r="B25" s="126"/>
      <c r="C25" s="126"/>
      <c r="D25" s="126"/>
      <c r="E25" s="127" t="n">
        <f aca="false">SUM(E18:E24)</f>
        <v>2622.7</v>
      </c>
    </row>
    <row r="26" s="102" customFormat="true" ht="15.75" hidden="false" customHeight="false" outlineLevel="0" collapsed="false">
      <c r="A26" s="115" t="s">
        <v>157</v>
      </c>
      <c r="B26" s="115"/>
      <c r="C26" s="115"/>
      <c r="D26" s="115"/>
      <c r="E26" s="115"/>
    </row>
    <row r="27" s="102" customFormat="true" ht="30" hidden="false" customHeight="true" outlineLevel="0" collapsed="false">
      <c r="A27" s="128" t="n">
        <v>2</v>
      </c>
      <c r="B27" s="129" t="s">
        <v>158</v>
      </c>
      <c r="C27" s="130" t="s">
        <v>159</v>
      </c>
      <c r="D27" s="131"/>
      <c r="E27" s="132" t="s">
        <v>133</v>
      </c>
    </row>
    <row r="28" customFormat="false" ht="15.75" hidden="false" customHeight="false" outlineLevel="0" collapsed="false">
      <c r="A28" s="133" t="s">
        <v>90</v>
      </c>
      <c r="B28" s="134" t="s">
        <v>160</v>
      </c>
      <c r="C28" s="135" t="n">
        <f aca="false">E25</f>
        <v>2622.7</v>
      </c>
      <c r="D28" s="136" t="n">
        <f aca="false">1/12</f>
        <v>0.0833</v>
      </c>
      <c r="E28" s="81" t="n">
        <f aca="false">(E25)*D28</f>
        <v>218.47091</v>
      </c>
    </row>
    <row r="29" customFormat="false" ht="15.75" hidden="false" customHeight="false" outlineLevel="0" collapsed="false">
      <c r="A29" s="133" t="s">
        <v>94</v>
      </c>
      <c r="B29" s="137" t="s">
        <v>161</v>
      </c>
      <c r="C29" s="135" t="n">
        <f aca="false">E25</f>
        <v>2622.7</v>
      </c>
      <c r="D29" s="136" t="n">
        <v>0.1111</v>
      </c>
      <c r="E29" s="81" t="n">
        <f aca="false">(E25)*D29</f>
        <v>291.38197</v>
      </c>
    </row>
    <row r="30" customFormat="false" ht="15.75" hidden="false" customHeight="true" outlineLevel="0" collapsed="false">
      <c r="A30" s="138" t="s">
        <v>162</v>
      </c>
      <c r="B30" s="138"/>
      <c r="C30" s="138"/>
      <c r="D30" s="139" t="n">
        <f aca="false">SUM(D28:D29)</f>
        <v>0.1944</v>
      </c>
      <c r="E30" s="140" t="n">
        <f aca="false">SUM(E28:E29)</f>
        <v>509.85288</v>
      </c>
    </row>
    <row r="31" customFormat="false" ht="30" hidden="false" customHeight="true" outlineLevel="0" collapsed="false">
      <c r="A31" s="141" t="s">
        <v>163</v>
      </c>
      <c r="B31" s="141"/>
      <c r="C31" s="141"/>
      <c r="D31" s="141"/>
      <c r="E31" s="141"/>
    </row>
    <row r="32" customFormat="false" ht="30" hidden="false" customHeight="true" outlineLevel="0" collapsed="false">
      <c r="A32" s="142" t="s">
        <v>164</v>
      </c>
      <c r="B32" s="143" t="s">
        <v>165</v>
      </c>
      <c r="C32" s="144" t="s">
        <v>159</v>
      </c>
      <c r="D32" s="145"/>
      <c r="E32" s="146" t="s">
        <v>133</v>
      </c>
    </row>
    <row r="33" customFormat="false" ht="15" hidden="false" customHeight="true" outlineLevel="0" collapsed="false">
      <c r="A33" s="133" t="s">
        <v>90</v>
      </c>
      <c r="B33" s="147" t="s">
        <v>166</v>
      </c>
      <c r="C33" s="135" t="n">
        <f aca="false">E$25+E$30</f>
        <v>3132.55288</v>
      </c>
      <c r="D33" s="136" t="n">
        <v>0.2</v>
      </c>
      <c r="E33" s="81" t="n">
        <f aca="false">C33*D33</f>
        <v>626.510576</v>
      </c>
    </row>
    <row r="34" customFormat="false" ht="15.75" hidden="false" customHeight="false" outlineLevel="0" collapsed="false">
      <c r="A34" s="133" t="s">
        <v>94</v>
      </c>
      <c r="B34" s="147" t="s">
        <v>167</v>
      </c>
      <c r="C34" s="135" t="n">
        <f aca="false">E$25+E$30</f>
        <v>3132.55288</v>
      </c>
      <c r="D34" s="148" t="n">
        <v>0.025</v>
      </c>
      <c r="E34" s="81" t="n">
        <f aca="false">C34*D34</f>
        <v>78.313822</v>
      </c>
    </row>
    <row r="35" customFormat="false" ht="35.05" hidden="false" customHeight="false" outlineLevel="0" collapsed="false">
      <c r="A35" s="133" t="s">
        <v>125</v>
      </c>
      <c r="B35" s="149" t="s">
        <v>168</v>
      </c>
      <c r="C35" s="135" t="n">
        <f aca="false">E$25+E$30</f>
        <v>3132.55288</v>
      </c>
      <c r="D35" s="148" t="n">
        <v>0.03</v>
      </c>
      <c r="E35" s="81" t="n">
        <f aca="false">C35*D35</f>
        <v>93.9765864</v>
      </c>
    </row>
    <row r="36" customFormat="false" ht="15.75" hidden="false" customHeight="false" outlineLevel="0" collapsed="false">
      <c r="A36" s="133" t="s">
        <v>147</v>
      </c>
      <c r="B36" s="147" t="s">
        <v>169</v>
      </c>
      <c r="C36" s="135" t="n">
        <f aca="false">E$25+E$30</f>
        <v>3132.55288</v>
      </c>
      <c r="D36" s="148" t="n">
        <v>0.015</v>
      </c>
      <c r="E36" s="81" t="n">
        <f aca="false">C36*D36</f>
        <v>46.9882932</v>
      </c>
    </row>
    <row r="37" customFormat="false" ht="15.75" hidden="false" customHeight="false" outlineLevel="0" collapsed="false">
      <c r="A37" s="133" t="s">
        <v>96</v>
      </c>
      <c r="B37" s="147" t="s">
        <v>170</v>
      </c>
      <c r="C37" s="135" t="n">
        <f aca="false">E$25+E$30</f>
        <v>3132.55288</v>
      </c>
      <c r="D37" s="148" t="n">
        <v>0.01</v>
      </c>
      <c r="E37" s="81" t="n">
        <f aca="false">C37*D37</f>
        <v>31.3255288</v>
      </c>
    </row>
    <row r="38" customFormat="false" ht="15.75" hidden="false" customHeight="false" outlineLevel="0" collapsed="false">
      <c r="A38" s="133" t="s">
        <v>152</v>
      </c>
      <c r="B38" s="150" t="s">
        <v>171</v>
      </c>
      <c r="C38" s="135" t="n">
        <f aca="false">E$25+E$30</f>
        <v>3132.55288</v>
      </c>
      <c r="D38" s="148" t="n">
        <v>0.006</v>
      </c>
      <c r="E38" s="81" t="n">
        <f aca="false">C38*D38</f>
        <v>18.79531728</v>
      </c>
    </row>
    <row r="39" s="151" customFormat="true" ht="23.85" hidden="false" customHeight="false" outlineLevel="0" collapsed="false">
      <c r="A39" s="133" t="s">
        <v>154</v>
      </c>
      <c r="B39" s="149" t="s">
        <v>172</v>
      </c>
      <c r="C39" s="135" t="n">
        <f aca="false">E$25+E$30</f>
        <v>3132.55288</v>
      </c>
      <c r="D39" s="148" t="n">
        <v>0.002</v>
      </c>
      <c r="E39" s="81" t="n">
        <f aca="false">C39*D39</f>
        <v>6.26510576</v>
      </c>
    </row>
    <row r="40" s="151" customFormat="true" ht="15.75" hidden="false" customHeight="false" outlineLevel="0" collapsed="false">
      <c r="A40" s="133" t="s">
        <v>173</v>
      </c>
      <c r="B40" s="147" t="s">
        <v>174</v>
      </c>
      <c r="C40" s="135" t="n">
        <f aca="false">E$25+E$30</f>
        <v>3132.55288</v>
      </c>
      <c r="D40" s="148" t="n">
        <v>0.08</v>
      </c>
      <c r="E40" s="81" t="n">
        <f aca="false">C40*D40</f>
        <v>250.6042304</v>
      </c>
    </row>
    <row r="41" s="151" customFormat="true" ht="15.75" hidden="false" customHeight="true" outlineLevel="0" collapsed="false">
      <c r="A41" s="138" t="s">
        <v>162</v>
      </c>
      <c r="B41" s="138"/>
      <c r="C41" s="138"/>
      <c r="D41" s="152" t="n">
        <f aca="false">SUM(D33:D40)</f>
        <v>0.368</v>
      </c>
      <c r="E41" s="140" t="n">
        <f aca="false">SUM(E33:E40)</f>
        <v>1152.77945984</v>
      </c>
    </row>
    <row r="42" s="151" customFormat="true" ht="15.75" hidden="false" customHeight="false" outlineLevel="0" collapsed="false">
      <c r="A42" s="153" t="s">
        <v>175</v>
      </c>
      <c r="B42" s="153"/>
      <c r="C42" s="153"/>
      <c r="D42" s="153"/>
      <c r="E42" s="153"/>
    </row>
    <row r="43" s="151" customFormat="true" ht="30" hidden="false" customHeight="true" outlineLevel="0" collapsed="false">
      <c r="A43" s="154" t="s">
        <v>176</v>
      </c>
      <c r="B43" s="155" t="s">
        <v>177</v>
      </c>
      <c r="C43" s="130" t="s">
        <v>159</v>
      </c>
      <c r="D43" s="131"/>
      <c r="E43" s="132" t="s">
        <v>133</v>
      </c>
    </row>
    <row r="44" s="151" customFormat="true" ht="15.75" hidden="false" customHeight="false" outlineLevel="0" collapsed="false">
      <c r="A44" s="156" t="s">
        <v>90</v>
      </c>
      <c r="B44" s="157" t="s">
        <v>178</v>
      </c>
      <c r="C44" s="158" t="n">
        <v>3</v>
      </c>
      <c r="D44" s="157"/>
      <c r="E44" s="159" t="n">
        <v>0</v>
      </c>
    </row>
    <row r="45" s="151" customFormat="true" ht="15.75" hidden="false" customHeight="false" outlineLevel="0" collapsed="false">
      <c r="A45" s="160" t="s">
        <v>94</v>
      </c>
      <c r="B45" s="125" t="s">
        <v>179</v>
      </c>
      <c r="C45" s="161" t="n">
        <v>626.94</v>
      </c>
      <c r="D45" s="124"/>
      <c r="E45" s="121" t="n">
        <f aca="false">C45-(C45*0.99%)</f>
        <v>620.73</v>
      </c>
    </row>
    <row r="46" s="151" customFormat="true" ht="15.75" hidden="false" customHeight="false" outlineLevel="0" collapsed="false">
      <c r="A46" s="133" t="s">
        <v>125</v>
      </c>
      <c r="B46" s="134" t="s">
        <v>180</v>
      </c>
      <c r="C46" s="162"/>
      <c r="D46" s="163"/>
      <c r="E46" s="81" t="n">
        <v>0</v>
      </c>
    </row>
    <row r="47" s="151" customFormat="true" ht="23.85" hidden="false" customHeight="false" outlineLevel="0" collapsed="false">
      <c r="A47" s="133" t="s">
        <v>147</v>
      </c>
      <c r="B47" s="134" t="s">
        <v>181</v>
      </c>
      <c r="C47" s="162" t="s">
        <v>182</v>
      </c>
      <c r="D47" s="163"/>
      <c r="E47" s="81" t="n">
        <f aca="false">C13*50%*0.0199*2/12</f>
        <v>3.27</v>
      </c>
    </row>
    <row r="48" s="151" customFormat="true" ht="15.75" hidden="false" customHeight="false" outlineLevel="0" collapsed="false">
      <c r="A48" s="133" t="s">
        <v>96</v>
      </c>
      <c r="B48" s="134" t="s">
        <v>183</v>
      </c>
      <c r="C48" s="79"/>
      <c r="D48" s="163"/>
      <c r="E48" s="81" t="n">
        <v>5.82</v>
      </c>
    </row>
    <row r="49" s="151" customFormat="true" ht="15.75" hidden="false" customHeight="true" outlineLevel="0" collapsed="false">
      <c r="A49" s="138" t="s">
        <v>184</v>
      </c>
      <c r="B49" s="138"/>
      <c r="C49" s="138"/>
      <c r="D49" s="138"/>
      <c r="E49" s="140" t="n">
        <f aca="false">SUM(E44:E48)</f>
        <v>629.82</v>
      </c>
    </row>
    <row r="50" s="151" customFormat="true" ht="15.75" hidden="false" customHeight="true" outlineLevel="0" collapsed="false">
      <c r="A50" s="153" t="s">
        <v>185</v>
      </c>
      <c r="B50" s="153"/>
      <c r="C50" s="153"/>
      <c r="D50" s="153"/>
      <c r="E50" s="153"/>
    </row>
    <row r="51" s="151" customFormat="true" ht="15.75" hidden="false" customHeight="true" outlineLevel="0" collapsed="false">
      <c r="A51" s="108" t="s">
        <v>164</v>
      </c>
      <c r="B51" s="164" t="s">
        <v>186</v>
      </c>
      <c r="C51" s="165"/>
      <c r="D51" s="165"/>
      <c r="E51" s="166" t="n">
        <f aca="false">E30</f>
        <v>509.85288</v>
      </c>
    </row>
    <row r="52" s="151" customFormat="true" ht="15.75" hidden="false" customHeight="true" outlineLevel="0" collapsed="false">
      <c r="A52" s="108" t="s">
        <v>187</v>
      </c>
      <c r="B52" s="164" t="s">
        <v>188</v>
      </c>
      <c r="C52" s="165"/>
      <c r="D52" s="165"/>
      <c r="E52" s="166" t="n">
        <f aca="false">E41</f>
        <v>1152.77945984</v>
      </c>
    </row>
    <row r="53" s="151" customFormat="true" ht="15.75" hidden="false" customHeight="true" outlineLevel="0" collapsed="false">
      <c r="A53" s="108" t="s">
        <v>176</v>
      </c>
      <c r="B53" s="164" t="s">
        <v>189</v>
      </c>
      <c r="C53" s="165"/>
      <c r="D53" s="165"/>
      <c r="E53" s="166" t="n">
        <f aca="false">E49</f>
        <v>629.82</v>
      </c>
    </row>
    <row r="54" s="151" customFormat="true" ht="15.75" hidden="false" customHeight="true" outlineLevel="0" collapsed="false">
      <c r="A54" s="126" t="s">
        <v>190</v>
      </c>
      <c r="B54" s="126"/>
      <c r="C54" s="126"/>
      <c r="D54" s="126"/>
      <c r="E54" s="127" t="n">
        <f aca="false">SUM(E51:E53)</f>
        <v>2292.45233984</v>
      </c>
    </row>
    <row r="55" s="151" customFormat="true" ht="15.75" hidden="false" customHeight="true" outlineLevel="0" collapsed="false">
      <c r="A55" s="115" t="s">
        <v>191</v>
      </c>
      <c r="B55" s="115"/>
      <c r="C55" s="115"/>
      <c r="D55" s="115"/>
      <c r="E55" s="115"/>
    </row>
    <row r="56" s="151" customFormat="true" ht="30" hidden="false" customHeight="true" outlineLevel="0" collapsed="false">
      <c r="A56" s="142" t="s">
        <v>192</v>
      </c>
      <c r="B56" s="143" t="s">
        <v>193</v>
      </c>
      <c r="C56" s="167" t="s">
        <v>159</v>
      </c>
      <c r="D56" s="46"/>
      <c r="E56" s="146" t="s">
        <v>133</v>
      </c>
    </row>
    <row r="57" s="151" customFormat="true" ht="15.75" hidden="false" customHeight="true" outlineLevel="0" collapsed="false">
      <c r="A57" s="133" t="s">
        <v>90</v>
      </c>
      <c r="B57" s="134" t="s">
        <v>194</v>
      </c>
      <c r="C57" s="168" t="n">
        <f aca="false">E$25+E$30</f>
        <v>3132.55288</v>
      </c>
      <c r="D57" s="136" t="n">
        <v>0.0046</v>
      </c>
      <c r="E57" s="81" t="n">
        <f aca="false">C57*D57</f>
        <v>14.409743248</v>
      </c>
    </row>
    <row r="58" s="151" customFormat="true" ht="15.75" hidden="false" customHeight="true" outlineLevel="0" collapsed="false">
      <c r="A58" s="133" t="s">
        <v>94</v>
      </c>
      <c r="B58" s="134" t="s">
        <v>195</v>
      </c>
      <c r="C58" s="168" t="n">
        <f aca="false">E$25+E$30</f>
        <v>3132.55288</v>
      </c>
      <c r="D58" s="136" t="n">
        <v>0.0004</v>
      </c>
      <c r="E58" s="81" t="n">
        <f aca="false">C58*D58</f>
        <v>1.253021152</v>
      </c>
    </row>
    <row r="59" s="151" customFormat="true" ht="15.75" hidden="false" customHeight="true" outlineLevel="0" collapsed="false">
      <c r="A59" s="133" t="s">
        <v>125</v>
      </c>
      <c r="B59" s="134" t="s">
        <v>196</v>
      </c>
      <c r="C59" s="168" t="n">
        <f aca="false">E$25+E$30</f>
        <v>3132.55288</v>
      </c>
      <c r="D59" s="136" t="n">
        <v>0.0194</v>
      </c>
      <c r="E59" s="81" t="n">
        <f aca="false">C59*D59</f>
        <v>60.771525872</v>
      </c>
    </row>
    <row r="60" s="151" customFormat="true" ht="30" hidden="false" customHeight="true" outlineLevel="0" collapsed="false">
      <c r="A60" s="133" t="s">
        <v>147</v>
      </c>
      <c r="B60" s="145" t="s">
        <v>197</v>
      </c>
      <c r="C60" s="168" t="n">
        <f aca="false">E$25+E$30</f>
        <v>3132.55288</v>
      </c>
      <c r="D60" s="169" t="n">
        <f aca="false">D41*D59</f>
        <v>0.0071</v>
      </c>
      <c r="E60" s="81" t="n">
        <f aca="false">C60*D60</f>
        <v>22.241125448</v>
      </c>
    </row>
    <row r="61" s="151" customFormat="true" ht="32.25" hidden="false" customHeight="true" outlineLevel="0" collapsed="false">
      <c r="A61" s="133" t="s">
        <v>96</v>
      </c>
      <c r="B61" s="134" t="s">
        <v>198</v>
      </c>
      <c r="C61" s="168" t="n">
        <f aca="false">E$25+E$30</f>
        <v>3132.55288</v>
      </c>
      <c r="D61" s="136" t="n">
        <v>0.04</v>
      </c>
      <c r="E61" s="81" t="n">
        <f aca="false">C61*D61</f>
        <v>125.3021152</v>
      </c>
    </row>
    <row r="62" s="151" customFormat="true" ht="15.75" hidden="false" customHeight="true" outlineLevel="0" collapsed="false">
      <c r="A62" s="126" t="s">
        <v>199</v>
      </c>
      <c r="B62" s="126"/>
      <c r="C62" s="126"/>
      <c r="D62" s="170" t="n">
        <f aca="false">SUM(D57:D61)</f>
        <v>0.0715</v>
      </c>
      <c r="E62" s="127" t="n">
        <f aca="false">SUM(E57:E61)</f>
        <v>223.97753092</v>
      </c>
    </row>
    <row r="63" s="151" customFormat="true" ht="15.75" hidden="false" customHeight="true" outlineLevel="0" collapsed="false">
      <c r="A63" s="115" t="s">
        <v>200</v>
      </c>
      <c r="B63" s="115"/>
      <c r="C63" s="115"/>
      <c r="D63" s="115"/>
      <c r="E63" s="115"/>
    </row>
    <row r="64" s="151" customFormat="true" ht="30" hidden="false" customHeight="true" outlineLevel="0" collapsed="false">
      <c r="A64" s="142" t="s">
        <v>201</v>
      </c>
      <c r="B64" s="171" t="s">
        <v>202</v>
      </c>
      <c r="C64" s="167" t="s">
        <v>159</v>
      </c>
      <c r="D64" s="172"/>
      <c r="E64" s="146" t="s">
        <v>133</v>
      </c>
    </row>
    <row r="65" s="151" customFormat="true" ht="15.75" hidden="false" customHeight="false" outlineLevel="0" collapsed="false">
      <c r="A65" s="133" t="s">
        <v>90</v>
      </c>
      <c r="B65" s="134" t="s">
        <v>203</v>
      </c>
      <c r="C65" s="173" t="n">
        <f aca="false">E$25+E$54+E$62+E85</f>
        <v>5488.92987076</v>
      </c>
      <c r="D65" s="136" t="n">
        <f aca="false">D29/12</f>
        <v>0.0093</v>
      </c>
      <c r="E65" s="81" t="n">
        <f aca="false">C65*D65</f>
        <v>51.047047798068</v>
      </c>
    </row>
    <row r="66" s="151" customFormat="true" ht="15.75" hidden="false" customHeight="false" outlineLevel="0" collapsed="false">
      <c r="A66" s="133" t="s">
        <v>94</v>
      </c>
      <c r="B66" s="134" t="s">
        <v>204</v>
      </c>
      <c r="C66" s="173" t="n">
        <f aca="false">E$25+E$54+E$62+E85</f>
        <v>5488.92987076</v>
      </c>
      <c r="D66" s="136" t="n">
        <v>0.0139</v>
      </c>
      <c r="E66" s="81" t="n">
        <f aca="false">C66*D66</f>
        <v>76.296125203564</v>
      </c>
    </row>
    <row r="67" s="151" customFormat="true" ht="15.75" hidden="false" customHeight="false" outlineLevel="0" collapsed="false">
      <c r="A67" s="133" t="s">
        <v>125</v>
      </c>
      <c r="B67" s="134" t="s">
        <v>205</v>
      </c>
      <c r="C67" s="173" t="n">
        <f aca="false">E$25+E$54+E$62+E85</f>
        <v>5488.92987076</v>
      </c>
      <c r="D67" s="136" t="n">
        <v>0.0013</v>
      </c>
      <c r="E67" s="81" t="n">
        <f aca="false">C67*D67</f>
        <v>7.135608831988</v>
      </c>
    </row>
    <row r="68" s="151" customFormat="true" ht="15.75" hidden="false" customHeight="false" outlineLevel="0" collapsed="false">
      <c r="A68" s="133" t="s">
        <v>147</v>
      </c>
      <c r="B68" s="134" t="s">
        <v>206</v>
      </c>
      <c r="C68" s="173" t="n">
        <f aca="false">E$25+E$54+E$62+E85</f>
        <v>5488.92987076</v>
      </c>
      <c r="D68" s="136" t="n">
        <v>0.0002</v>
      </c>
      <c r="E68" s="81" t="n">
        <f aca="false">C68*D68</f>
        <v>1.097785974152</v>
      </c>
    </row>
    <row r="69" s="151" customFormat="true" ht="15.75" hidden="false" customHeight="false" outlineLevel="0" collapsed="false">
      <c r="A69" s="133" t="s">
        <v>96</v>
      </c>
      <c r="B69" s="134" t="s">
        <v>207</v>
      </c>
      <c r="C69" s="173" t="n">
        <f aca="false">E$25+E$54+E$62+E85</f>
        <v>5488.92987076</v>
      </c>
      <c r="D69" s="136" t="n">
        <v>0.0028</v>
      </c>
      <c r="E69" s="81" t="n">
        <f aca="false">C69*D69</f>
        <v>15.369003638128</v>
      </c>
    </row>
    <row r="70" s="151" customFormat="true" ht="15.75" hidden="false" customHeight="false" outlineLevel="0" collapsed="false">
      <c r="A70" s="133" t="s">
        <v>152</v>
      </c>
      <c r="B70" s="134" t="s">
        <v>208</v>
      </c>
      <c r="C70" s="173" t="n">
        <f aca="false">E$25+E$54+E$62+E85</f>
        <v>5488.92987076</v>
      </c>
      <c r="D70" s="136" t="n">
        <v>0.0003</v>
      </c>
      <c r="E70" s="81" t="n">
        <f aca="false">C70*D70</f>
        <v>1.646678961228</v>
      </c>
    </row>
    <row r="71" s="151" customFormat="true" ht="15.75" hidden="false" customHeight="false" outlineLevel="0" collapsed="false">
      <c r="A71" s="133" t="s">
        <v>154</v>
      </c>
      <c r="B71" s="174" t="s">
        <v>209</v>
      </c>
      <c r="C71" s="173" t="n">
        <f aca="false">E$25+E$54+E$62+E85</f>
        <v>5488.92987076</v>
      </c>
      <c r="D71" s="136" t="n">
        <v>0</v>
      </c>
      <c r="E71" s="81" t="n">
        <f aca="false">C71*D71</f>
        <v>0</v>
      </c>
    </row>
    <row r="72" s="151" customFormat="true" ht="15.75" hidden="false" customHeight="true" outlineLevel="0" collapsed="false">
      <c r="A72" s="138" t="s">
        <v>210</v>
      </c>
      <c r="B72" s="138"/>
      <c r="C72" s="138"/>
      <c r="D72" s="175" t="n">
        <f aca="false">SUM(D65:D71)</f>
        <v>0.0278</v>
      </c>
      <c r="E72" s="140" t="n">
        <f aca="false">SUM(E65:E71)</f>
        <v>152.592250407128</v>
      </c>
    </row>
    <row r="73" s="151" customFormat="true" ht="15.75" hidden="false" customHeight="true" outlineLevel="0" collapsed="false">
      <c r="A73" s="153" t="s">
        <v>211</v>
      </c>
      <c r="B73" s="153"/>
      <c r="C73" s="153"/>
      <c r="D73" s="153"/>
      <c r="E73" s="153"/>
    </row>
    <row r="74" s="151" customFormat="true" ht="15.75" hidden="false" customHeight="false" outlineLevel="0" collapsed="false">
      <c r="A74" s="142"/>
      <c r="B74" s="143" t="s">
        <v>211</v>
      </c>
      <c r="C74" s="145"/>
      <c r="D74" s="145"/>
      <c r="E74" s="146" t="s">
        <v>133</v>
      </c>
    </row>
    <row r="75" s="151" customFormat="true" ht="15.75" hidden="false" customHeight="true" outlineLevel="0" collapsed="false">
      <c r="A75" s="133" t="s">
        <v>90</v>
      </c>
      <c r="B75" s="134" t="s">
        <v>212</v>
      </c>
      <c r="C75" s="162"/>
      <c r="D75" s="136" t="n">
        <v>0</v>
      </c>
      <c r="E75" s="81" t="n">
        <f aca="false">(E$25+E$54+E$62+E85)*D75</f>
        <v>0</v>
      </c>
    </row>
    <row r="76" s="151" customFormat="true" ht="15.75" hidden="false" customHeight="true" outlineLevel="0" collapsed="false">
      <c r="A76" s="138" t="s">
        <v>213</v>
      </c>
      <c r="B76" s="138"/>
      <c r="C76" s="138"/>
      <c r="D76" s="139" t="n">
        <f aca="false">SUM(D75)</f>
        <v>0</v>
      </c>
      <c r="E76" s="140" t="n">
        <f aca="false">SUM(E75)</f>
        <v>0</v>
      </c>
    </row>
    <row r="77" s="151" customFormat="true" ht="15.75" hidden="false" customHeight="true" outlineLevel="0" collapsed="false">
      <c r="A77" s="176" t="s">
        <v>214</v>
      </c>
      <c r="B77" s="176"/>
      <c r="C77" s="176"/>
      <c r="D77" s="176"/>
      <c r="E77" s="176"/>
    </row>
    <row r="78" s="151" customFormat="true" ht="15.75" hidden="false" customHeight="true" outlineLevel="0" collapsed="false">
      <c r="A78" s="142" t="n">
        <v>4</v>
      </c>
      <c r="B78" s="177" t="s">
        <v>215</v>
      </c>
      <c r="C78" s="178"/>
      <c r="D78" s="179"/>
      <c r="E78" s="146" t="s">
        <v>133</v>
      </c>
    </row>
    <row r="79" s="151" customFormat="true" ht="15.75" hidden="false" customHeight="true" outlineLevel="0" collapsed="false">
      <c r="A79" s="133" t="s">
        <v>201</v>
      </c>
      <c r="B79" s="134" t="s">
        <v>202</v>
      </c>
      <c r="C79" s="178"/>
      <c r="D79" s="136" t="n">
        <f aca="false">D72</f>
        <v>0.0278</v>
      </c>
      <c r="E79" s="81" t="n">
        <f aca="false">E72</f>
        <v>152.592250407128</v>
      </c>
    </row>
    <row r="80" s="151" customFormat="true" ht="15.75" hidden="false" customHeight="true" outlineLevel="0" collapsed="false">
      <c r="A80" s="133" t="s">
        <v>216</v>
      </c>
      <c r="B80" s="134" t="s">
        <v>211</v>
      </c>
      <c r="C80" s="178"/>
      <c r="D80" s="136" t="n">
        <v>0</v>
      </c>
      <c r="E80" s="81" t="n">
        <f aca="false">(D$25+D$53+D$61)*D80</f>
        <v>0</v>
      </c>
    </row>
    <row r="81" s="151" customFormat="true" ht="15.75" hidden="false" customHeight="true" outlineLevel="0" collapsed="false">
      <c r="A81" s="138" t="s">
        <v>162</v>
      </c>
      <c r="B81" s="138"/>
      <c r="C81" s="138"/>
      <c r="D81" s="139" t="n">
        <f aca="false">SUM(D79:D80)</f>
        <v>0.0278</v>
      </c>
      <c r="E81" s="140" t="n">
        <f aca="false">SUM(E79:E80)</f>
        <v>152.592250407128</v>
      </c>
    </row>
    <row r="82" s="151" customFormat="true" ht="15.75" hidden="false" customHeight="true" outlineLevel="0" collapsed="false">
      <c r="A82" s="126" t="s">
        <v>217</v>
      </c>
      <c r="B82" s="126"/>
      <c r="C82" s="126"/>
      <c r="D82" s="126"/>
      <c r="E82" s="127" t="n">
        <f aca="false">SUM(E72+E76)</f>
        <v>152.592250407128</v>
      </c>
    </row>
    <row r="83" s="151" customFormat="true" ht="15.75" hidden="false" customHeight="true" outlineLevel="0" collapsed="false">
      <c r="A83" s="115" t="s">
        <v>218</v>
      </c>
      <c r="B83" s="115"/>
      <c r="C83" s="115"/>
      <c r="D83" s="115"/>
      <c r="E83" s="115"/>
    </row>
    <row r="84" s="151" customFormat="true" ht="15.75" hidden="false" customHeight="true" outlineLevel="0" collapsed="false">
      <c r="A84" s="142" t="n">
        <v>5</v>
      </c>
      <c r="B84" s="143" t="s">
        <v>219</v>
      </c>
      <c r="C84" s="145"/>
      <c r="D84" s="145"/>
      <c r="E84" s="146" t="s">
        <v>133</v>
      </c>
    </row>
    <row r="85" s="151" customFormat="true" ht="15.75" hidden="false" customHeight="true" outlineLevel="0" collapsed="false">
      <c r="A85" s="160" t="s">
        <v>90</v>
      </c>
      <c r="B85" s="125" t="s">
        <v>220</v>
      </c>
      <c r="C85" s="180"/>
      <c r="D85" s="181"/>
      <c r="E85" s="81" t="n">
        <f aca="false">'EPI''s e Uniformes'!I12</f>
        <v>349.8</v>
      </c>
    </row>
    <row r="86" s="151" customFormat="true" ht="15.75" hidden="false" customHeight="true" outlineLevel="0" collapsed="false">
      <c r="A86" s="160" t="s">
        <v>94</v>
      </c>
      <c r="B86" s="125" t="s">
        <v>221</v>
      </c>
      <c r="C86" s="180"/>
      <c r="D86" s="181"/>
      <c r="E86" s="81" t="n">
        <f aca="false">Materiais!H17</f>
        <v>1001.975</v>
      </c>
    </row>
    <row r="87" s="151" customFormat="true" ht="15.75" hidden="false" customHeight="true" outlineLevel="0" collapsed="false">
      <c r="A87" s="160" t="s">
        <v>125</v>
      </c>
      <c r="B87" s="125" t="s">
        <v>222</v>
      </c>
      <c r="C87" s="180"/>
      <c r="D87" s="181"/>
      <c r="E87" s="81" t="n">
        <f aca="false">'Equipamentos-Mater. Permanentes'!H21</f>
        <v>1527.06659722222</v>
      </c>
    </row>
    <row r="88" s="151" customFormat="true" ht="15.75" hidden="false" customHeight="true" outlineLevel="0" collapsed="false">
      <c r="A88" s="160" t="s">
        <v>147</v>
      </c>
      <c r="B88" s="125" t="s">
        <v>223</v>
      </c>
      <c r="C88" s="180"/>
      <c r="D88" s="181"/>
      <c r="E88" s="81" t="n">
        <v>0</v>
      </c>
    </row>
    <row r="89" s="151" customFormat="true" ht="15.75" hidden="false" customHeight="true" outlineLevel="0" collapsed="false">
      <c r="A89" s="126" t="s">
        <v>224</v>
      </c>
      <c r="B89" s="126"/>
      <c r="C89" s="126"/>
      <c r="D89" s="126"/>
      <c r="E89" s="127" t="n">
        <f aca="false">SUM(E85:E88)</f>
        <v>2878.84159722222</v>
      </c>
    </row>
    <row r="90" s="151" customFormat="true" ht="23.25" hidden="false" customHeight="true" outlineLevel="0" collapsed="false">
      <c r="A90" s="128" t="s">
        <v>225</v>
      </c>
      <c r="B90" s="128"/>
      <c r="C90" s="128"/>
      <c r="D90" s="128"/>
      <c r="E90" s="182" t="n">
        <f aca="false">E89+E82+E62+E54+E25</f>
        <v>8170.56371838935</v>
      </c>
    </row>
    <row r="91" s="151" customFormat="true" ht="19.5" hidden="false" customHeight="true" outlineLevel="0" collapsed="false">
      <c r="A91" s="115" t="s">
        <v>226</v>
      </c>
      <c r="B91" s="115"/>
      <c r="C91" s="115"/>
      <c r="D91" s="115"/>
      <c r="E91" s="115"/>
    </row>
    <row r="92" s="151" customFormat="true" ht="30" hidden="false" customHeight="true" outlineLevel="0" collapsed="false">
      <c r="A92" s="142" t="n">
        <v>6</v>
      </c>
      <c r="B92" s="143" t="s">
        <v>227</v>
      </c>
      <c r="C92" s="144" t="s">
        <v>159</v>
      </c>
      <c r="D92" s="144"/>
      <c r="E92" s="146" t="s">
        <v>133</v>
      </c>
    </row>
    <row r="93" s="151" customFormat="true" ht="15.75" hidden="false" customHeight="false" outlineLevel="0" collapsed="false">
      <c r="A93" s="133" t="s">
        <v>90</v>
      </c>
      <c r="B93" s="134" t="s">
        <v>228</v>
      </c>
      <c r="C93" s="183" t="n">
        <f aca="false">E90</f>
        <v>8170.56371838935</v>
      </c>
      <c r="D93" s="136" t="n">
        <v>0.05</v>
      </c>
      <c r="E93" s="81" t="n">
        <f aca="false">+C93*D93</f>
        <v>408.528185919467</v>
      </c>
    </row>
    <row r="94" s="151" customFormat="true" ht="15.75" hidden="false" customHeight="false" outlineLevel="0" collapsed="false">
      <c r="A94" s="133" t="s">
        <v>94</v>
      </c>
      <c r="B94" s="134" t="s">
        <v>229</v>
      </c>
      <c r="C94" s="183" t="n">
        <f aca="false">E90+E93</f>
        <v>8579.09190430881</v>
      </c>
      <c r="D94" s="136" t="n">
        <v>0.1</v>
      </c>
      <c r="E94" s="81" t="n">
        <f aca="false">D94*(C94)</f>
        <v>857.909190430882</v>
      </c>
    </row>
    <row r="95" s="151" customFormat="true" ht="30.75" hidden="false" customHeight="true" outlineLevel="0" collapsed="false">
      <c r="A95" s="133"/>
      <c r="B95" s="134" t="s">
        <v>230</v>
      </c>
      <c r="C95" s="134"/>
      <c r="D95" s="136" t="n">
        <f aca="false">1-D102</f>
        <v>0.8575</v>
      </c>
      <c r="E95" s="81" t="n">
        <f aca="false">+E90+E93+E94</f>
        <v>9437.0010947397</v>
      </c>
    </row>
    <row r="96" s="151" customFormat="true" ht="15.75" hidden="false" customHeight="false" outlineLevel="0" collapsed="false">
      <c r="A96" s="133"/>
      <c r="B96" s="174"/>
      <c r="C96" s="184"/>
      <c r="D96" s="79"/>
      <c r="E96" s="185" t="n">
        <f aca="false">+E95/D95</f>
        <v>11005.2490900754</v>
      </c>
    </row>
    <row r="97" s="151" customFormat="true" ht="15.75" hidden="false" customHeight="false" outlineLevel="0" collapsed="false">
      <c r="A97" s="133" t="s">
        <v>125</v>
      </c>
      <c r="B97" s="174" t="s">
        <v>231</v>
      </c>
      <c r="C97" s="184"/>
      <c r="D97" s="186" t="n">
        <f aca="false">D99+D100+D101</f>
        <v>0.1425</v>
      </c>
      <c r="E97" s="185"/>
    </row>
    <row r="98" s="151" customFormat="true" ht="15.75" hidden="false" customHeight="false" outlineLevel="0" collapsed="false">
      <c r="A98" s="133" t="s">
        <v>232</v>
      </c>
      <c r="B98" s="174" t="s">
        <v>233</v>
      </c>
      <c r="C98" s="174"/>
      <c r="D98" s="186" t="n">
        <f aca="false">D99+D100</f>
        <v>0.0925</v>
      </c>
      <c r="E98" s="81"/>
    </row>
    <row r="99" s="151" customFormat="true" ht="15.75" hidden="false" customHeight="false" outlineLevel="0" collapsed="false">
      <c r="A99" s="133" t="s">
        <v>234</v>
      </c>
      <c r="B99" s="134" t="s">
        <v>235</v>
      </c>
      <c r="C99" s="80" t="n">
        <f aca="false">E96</f>
        <v>11005.2490900754</v>
      </c>
      <c r="D99" s="136" t="n">
        <v>0.0165</v>
      </c>
      <c r="E99" s="81" t="n">
        <f aca="false">C99*D99</f>
        <v>181.586609986245</v>
      </c>
    </row>
    <row r="100" s="151" customFormat="true" ht="15.75" hidden="false" customHeight="false" outlineLevel="0" collapsed="false">
      <c r="A100" s="133" t="s">
        <v>236</v>
      </c>
      <c r="B100" s="134" t="s">
        <v>237</v>
      </c>
      <c r="C100" s="80" t="n">
        <f aca="false">E96</f>
        <v>11005.2490900754</v>
      </c>
      <c r="D100" s="136" t="n">
        <v>0.076</v>
      </c>
      <c r="E100" s="81" t="n">
        <f aca="false">C100*D100</f>
        <v>836.398930845734</v>
      </c>
    </row>
    <row r="101" s="151" customFormat="true" ht="15.75" hidden="false" customHeight="false" outlineLevel="0" collapsed="false">
      <c r="A101" s="133" t="s">
        <v>238</v>
      </c>
      <c r="B101" s="134" t="s">
        <v>239</v>
      </c>
      <c r="C101" s="80" t="n">
        <f aca="false">E96</f>
        <v>11005.2490900754</v>
      </c>
      <c r="D101" s="136" t="n">
        <v>0.05</v>
      </c>
      <c r="E101" s="81" t="n">
        <f aca="false">C101*D101</f>
        <v>550.262454503772</v>
      </c>
    </row>
    <row r="102" s="151" customFormat="true" ht="15.75" hidden="false" customHeight="false" outlineLevel="0" collapsed="false">
      <c r="A102" s="142"/>
      <c r="B102" s="187" t="s">
        <v>240</v>
      </c>
      <c r="C102" s="187"/>
      <c r="D102" s="188" t="n">
        <f aca="false">D97</f>
        <v>0.1425</v>
      </c>
      <c r="E102" s="81" t="n">
        <f aca="false">SUM(E99:E101)</f>
        <v>1568.24799533575</v>
      </c>
    </row>
    <row r="103" s="151" customFormat="true" ht="15.75" hidden="false" customHeight="true" outlineLevel="0" collapsed="false">
      <c r="A103" s="138" t="s">
        <v>241</v>
      </c>
      <c r="B103" s="138"/>
      <c r="C103" s="138"/>
      <c r="D103" s="138"/>
      <c r="E103" s="140" t="n">
        <f aca="false">+E93+E94+E102</f>
        <v>2834.6853716861</v>
      </c>
    </row>
    <row r="104" s="151" customFormat="true" ht="15.75" hidden="false" customHeight="true" outlineLevel="0" collapsed="false">
      <c r="A104" s="189" t="s">
        <v>242</v>
      </c>
      <c r="B104" s="189"/>
      <c r="C104" s="189"/>
      <c r="D104" s="189"/>
      <c r="E104" s="190" t="s">
        <v>133</v>
      </c>
    </row>
    <row r="105" s="151" customFormat="true" ht="15.75" hidden="false" customHeight="true" outlineLevel="0" collapsed="false">
      <c r="A105" s="133" t="s">
        <v>90</v>
      </c>
      <c r="B105" s="174" t="s">
        <v>243</v>
      </c>
      <c r="C105" s="174"/>
      <c r="D105" s="174"/>
      <c r="E105" s="81" t="n">
        <f aca="false">+E25</f>
        <v>2622.7</v>
      </c>
    </row>
    <row r="106" s="151" customFormat="true" ht="15.75" hidden="false" customHeight="true" outlineLevel="0" collapsed="false">
      <c r="A106" s="133" t="s">
        <v>94</v>
      </c>
      <c r="B106" s="174" t="s">
        <v>244</v>
      </c>
      <c r="C106" s="174"/>
      <c r="D106" s="174"/>
      <c r="E106" s="81" t="n">
        <f aca="false">+E54</f>
        <v>2292.45233984</v>
      </c>
    </row>
    <row r="107" s="151" customFormat="true" ht="15.75" hidden="false" customHeight="true" outlineLevel="0" collapsed="false">
      <c r="A107" s="133" t="s">
        <v>125</v>
      </c>
      <c r="B107" s="174" t="s">
        <v>245</v>
      </c>
      <c r="C107" s="174"/>
      <c r="D107" s="174"/>
      <c r="E107" s="81" t="n">
        <f aca="false">E62</f>
        <v>223.97753092</v>
      </c>
    </row>
    <row r="108" s="151" customFormat="true" ht="15.75" hidden="false" customHeight="true" outlineLevel="0" collapsed="false">
      <c r="A108" s="133" t="s">
        <v>147</v>
      </c>
      <c r="B108" s="174" t="s">
        <v>246</v>
      </c>
      <c r="C108" s="174"/>
      <c r="D108" s="174"/>
      <c r="E108" s="81" t="n">
        <f aca="false">E82</f>
        <v>152.592250407128</v>
      </c>
    </row>
    <row r="109" s="151" customFormat="true" ht="15.75" hidden="false" customHeight="true" outlineLevel="0" collapsed="false">
      <c r="A109" s="133" t="s">
        <v>96</v>
      </c>
      <c r="B109" s="174" t="s">
        <v>247</v>
      </c>
      <c r="C109" s="174"/>
      <c r="D109" s="174"/>
      <c r="E109" s="81" t="n">
        <f aca="false">E89</f>
        <v>2878.84159722222</v>
      </c>
    </row>
    <row r="110" s="151" customFormat="true" ht="15.75" hidden="false" customHeight="true" outlineLevel="0" collapsed="false">
      <c r="A110" s="142" t="s">
        <v>248</v>
      </c>
      <c r="B110" s="142"/>
      <c r="C110" s="142"/>
      <c r="D110" s="142"/>
      <c r="E110" s="191" t="n">
        <f aca="false">SUM(E105:E109)</f>
        <v>8170.56371838935</v>
      </c>
    </row>
    <row r="111" customFormat="false" ht="15.75" hidden="false" customHeight="true" outlineLevel="0" collapsed="false">
      <c r="A111" s="133" t="s">
        <v>152</v>
      </c>
      <c r="B111" s="174" t="s">
        <v>249</v>
      </c>
      <c r="C111" s="174"/>
      <c r="D111" s="174"/>
      <c r="E111" s="81" t="n">
        <f aca="false">+E103</f>
        <v>2834.6853716861</v>
      </c>
    </row>
    <row r="112" customFormat="false" ht="16.5" hidden="false" customHeight="true" outlineLevel="0" collapsed="false">
      <c r="A112" s="192" t="s">
        <v>250</v>
      </c>
      <c r="B112" s="192"/>
      <c r="C112" s="192"/>
      <c r="D112" s="192"/>
      <c r="E112" s="193" t="n">
        <f aca="false">+E110+E111</f>
        <v>11005.2490900754</v>
      </c>
    </row>
  </sheetData>
  <mergeCells count="56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C18:D18"/>
    <mergeCell ref="C19:D19"/>
    <mergeCell ref="C20:D20"/>
    <mergeCell ref="C21:D21"/>
    <mergeCell ref="C22:D22"/>
    <mergeCell ref="C23:D23"/>
    <mergeCell ref="C24:D24"/>
    <mergeCell ref="A25:D25"/>
    <mergeCell ref="A26:E26"/>
    <mergeCell ref="A30:C30"/>
    <mergeCell ref="A31:E31"/>
    <mergeCell ref="A41:C41"/>
    <mergeCell ref="A42:E42"/>
    <mergeCell ref="A49:D49"/>
    <mergeCell ref="A50:E50"/>
    <mergeCell ref="A54:D54"/>
    <mergeCell ref="A55:E55"/>
    <mergeCell ref="A62:C62"/>
    <mergeCell ref="A63:E63"/>
    <mergeCell ref="A72:C72"/>
    <mergeCell ref="A73:E73"/>
    <mergeCell ref="A76:C76"/>
    <mergeCell ref="A77:E77"/>
    <mergeCell ref="A81:C81"/>
    <mergeCell ref="A82:D82"/>
    <mergeCell ref="A83:E83"/>
    <mergeCell ref="A89:D89"/>
    <mergeCell ref="A90:D90"/>
    <mergeCell ref="A91:E91"/>
    <mergeCell ref="A103:D103"/>
    <mergeCell ref="A104:D104"/>
    <mergeCell ref="B105:D105"/>
    <mergeCell ref="B106:D106"/>
    <mergeCell ref="B107:D107"/>
    <mergeCell ref="B108:D108"/>
    <mergeCell ref="B109:D109"/>
    <mergeCell ref="A110:D110"/>
    <mergeCell ref="B111:D111"/>
    <mergeCell ref="A112:D112"/>
  </mergeCells>
  <hyperlinks>
    <hyperlink ref="B38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19"/>
  <sheetViews>
    <sheetView showFormulas="false" showGridLines="true" showRowColHeaders="true" showZeros="true" rightToLeft="false" tabSelected="true" showOutlineSymbols="true" defaultGridColor="true" view="pageBreakPreview" topLeftCell="A40" colorId="64" zoomScale="100" zoomScaleNormal="115" zoomScalePageLayoutView="100" workbookViewId="0">
      <selection pane="topLeft" activeCell="L54" activeCellId="0" sqref="L54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95" width="8.71"/>
    <col collapsed="false" customWidth="true" hidden="false" outlineLevel="0" max="2" min="2" style="96" width="72.71"/>
    <col collapsed="false" customWidth="true" hidden="false" outlineLevel="0" max="3" min="3" style="96" width="12.71"/>
    <col collapsed="false" customWidth="true" hidden="false" outlineLevel="0" max="4" min="4" style="97" width="8.71"/>
    <col collapsed="false" customWidth="true" hidden="false" outlineLevel="0" max="5" min="5" style="98" width="12.71"/>
    <col collapsed="false" customWidth="false" hidden="false" outlineLevel="0" max="16384" min="6" style="99" width="9.14"/>
  </cols>
  <sheetData>
    <row r="1" customFormat="false" ht="15.75" hidden="false" customHeight="false" outlineLevel="0" collapsed="false">
      <c r="A1" s="100"/>
      <c r="B1" s="100"/>
      <c r="C1" s="100"/>
      <c r="D1" s="100"/>
      <c r="E1" s="100"/>
    </row>
    <row r="2" s="102" customFormat="true" ht="16.5" hidden="false" customHeight="true" outlineLevel="0" collapsed="false">
      <c r="A2" s="101"/>
      <c r="B2" s="101"/>
      <c r="C2" s="101"/>
      <c r="D2" s="101"/>
      <c r="E2" s="101"/>
    </row>
    <row r="3" s="102" customFormat="true" ht="15.75" hidden="false" customHeight="false" outlineLevel="0" collapsed="false">
      <c r="A3" s="103" t="s">
        <v>121</v>
      </c>
      <c r="B3" s="103"/>
      <c r="C3" s="103"/>
      <c r="D3" s="103"/>
      <c r="E3" s="103"/>
    </row>
    <row r="4" s="102" customFormat="true" ht="15" hidden="false" customHeight="true" outlineLevel="0" collapsed="false">
      <c r="A4" s="104" t="s">
        <v>90</v>
      </c>
      <c r="B4" s="105" t="s">
        <v>122</v>
      </c>
      <c r="C4" s="106" t="n">
        <v>2025</v>
      </c>
      <c r="D4" s="106"/>
      <c r="E4" s="106"/>
    </row>
    <row r="5" s="102" customFormat="true" ht="75" hidden="false" customHeight="true" outlineLevel="0" collapsed="false">
      <c r="A5" s="104" t="s">
        <v>94</v>
      </c>
      <c r="B5" s="105" t="s">
        <v>123</v>
      </c>
      <c r="C5" s="107" t="s">
        <v>124</v>
      </c>
      <c r="D5" s="107"/>
      <c r="E5" s="107"/>
    </row>
    <row r="6" s="102" customFormat="true" ht="15.75" hidden="false" customHeight="true" outlineLevel="0" collapsed="false">
      <c r="A6" s="104" t="s">
        <v>125</v>
      </c>
      <c r="B6" s="105" t="s">
        <v>126</v>
      </c>
      <c r="C6" s="107"/>
      <c r="D6" s="107"/>
      <c r="E6" s="107"/>
    </row>
    <row r="7" s="102" customFormat="true" ht="15.75" hidden="false" customHeight="false" outlineLevel="0" collapsed="false">
      <c r="A7" s="104"/>
      <c r="B7" s="105" t="s">
        <v>128</v>
      </c>
      <c r="C7" s="107" t="n">
        <v>12</v>
      </c>
      <c r="D7" s="107"/>
      <c r="E7" s="107"/>
    </row>
    <row r="8" s="102" customFormat="true" ht="15.75" hidden="false" customHeight="false" outlineLevel="0" collapsed="false">
      <c r="A8" s="103" t="s">
        <v>129</v>
      </c>
      <c r="B8" s="103"/>
      <c r="C8" s="103"/>
      <c r="D8" s="103"/>
      <c r="E8" s="103"/>
      <c r="M8" s="194"/>
    </row>
    <row r="9" s="102" customFormat="true" ht="15.75" hidden="false" customHeight="false" outlineLevel="0" collapsed="false">
      <c r="A9" s="103" t="s">
        <v>130</v>
      </c>
      <c r="B9" s="103"/>
      <c r="C9" s="103"/>
      <c r="D9" s="103"/>
      <c r="E9" s="103"/>
    </row>
    <row r="10" s="102" customFormat="true" ht="15.75" hidden="false" customHeight="true" outlineLevel="0" collapsed="false">
      <c r="A10" s="103" t="s">
        <v>131</v>
      </c>
      <c r="B10" s="103"/>
      <c r="C10" s="103"/>
      <c r="D10" s="103"/>
      <c r="E10" s="103"/>
    </row>
    <row r="11" s="102" customFormat="true" ht="30" hidden="false" customHeight="true" outlineLevel="0" collapsed="false">
      <c r="A11" s="108" t="s">
        <v>132</v>
      </c>
      <c r="B11" s="108"/>
      <c r="C11" s="108"/>
      <c r="D11" s="108"/>
      <c r="E11" s="109" t="s">
        <v>133</v>
      </c>
    </row>
    <row r="12" s="102" customFormat="true" ht="75" hidden="false" customHeight="true" outlineLevel="0" collapsed="false">
      <c r="A12" s="104" t="n">
        <v>1</v>
      </c>
      <c r="B12" s="110" t="s">
        <v>134</v>
      </c>
      <c r="C12" s="111" t="s">
        <v>135</v>
      </c>
      <c r="D12" s="111"/>
      <c r="E12" s="111"/>
    </row>
    <row r="13" s="102" customFormat="true" ht="30" hidden="false" customHeight="true" outlineLevel="0" collapsed="false">
      <c r="A13" s="104" t="n">
        <v>2</v>
      </c>
      <c r="B13" s="110" t="s">
        <v>136</v>
      </c>
      <c r="C13" s="112" t="n">
        <v>3960</v>
      </c>
      <c r="D13" s="112"/>
      <c r="E13" s="112"/>
    </row>
    <row r="14" s="102" customFormat="true" ht="15.75" hidden="false" customHeight="true" outlineLevel="0" collapsed="false">
      <c r="A14" s="104" t="n">
        <v>3</v>
      </c>
      <c r="B14" s="110" t="s">
        <v>137</v>
      </c>
      <c r="C14" s="111" t="s">
        <v>119</v>
      </c>
      <c r="D14" s="111"/>
      <c r="E14" s="111"/>
    </row>
    <row r="15" s="102" customFormat="true" ht="15.75" hidden="false" customHeight="false" outlineLevel="0" collapsed="false">
      <c r="A15" s="104" t="n">
        <v>4</v>
      </c>
      <c r="B15" s="113" t="s">
        <v>139</v>
      </c>
      <c r="C15" s="195" t="n">
        <v>2025</v>
      </c>
      <c r="D15" s="195"/>
      <c r="E15" s="195"/>
    </row>
    <row r="16" s="116" customFormat="true" ht="15.75" hidden="false" customHeight="false" outlineLevel="0" collapsed="false">
      <c r="A16" s="115" t="s">
        <v>140</v>
      </c>
      <c r="B16" s="115"/>
      <c r="C16" s="115"/>
      <c r="D16" s="115"/>
      <c r="E16" s="115"/>
    </row>
    <row r="17" s="116" customFormat="true" ht="15.75" hidden="false" customHeight="true" outlineLevel="0" collapsed="false">
      <c r="A17" s="108" t="n">
        <v>1</v>
      </c>
      <c r="B17" s="117" t="s">
        <v>141</v>
      </c>
      <c r="C17" s="117"/>
      <c r="D17" s="117"/>
      <c r="E17" s="118" t="s">
        <v>133</v>
      </c>
    </row>
    <row r="18" s="102" customFormat="true" ht="15.75" hidden="false" customHeight="true" outlineLevel="0" collapsed="false">
      <c r="A18" s="119" t="s">
        <v>90</v>
      </c>
      <c r="B18" s="120" t="s">
        <v>142</v>
      </c>
      <c r="C18" s="113"/>
      <c r="D18" s="113"/>
      <c r="E18" s="121" t="n">
        <f aca="false">C13</f>
        <v>3960</v>
      </c>
    </row>
    <row r="19" s="102" customFormat="true" ht="15.75" hidden="false" customHeight="true" outlineLevel="0" collapsed="false">
      <c r="A19" s="119" t="s">
        <v>94</v>
      </c>
      <c r="B19" s="120" t="s">
        <v>143</v>
      </c>
      <c r="C19" s="122" t="s">
        <v>144</v>
      </c>
      <c r="D19" s="122"/>
      <c r="E19" s="121"/>
    </row>
    <row r="20" s="102" customFormat="true" ht="15.75" hidden="false" customHeight="true" outlineLevel="0" collapsed="false">
      <c r="A20" s="119" t="s">
        <v>125</v>
      </c>
      <c r="B20" s="120" t="s">
        <v>145</v>
      </c>
      <c r="C20" s="196"/>
      <c r="D20" s="196"/>
      <c r="E20" s="121"/>
    </row>
    <row r="21" s="102" customFormat="true" ht="15.75" hidden="false" customHeight="true" outlineLevel="0" collapsed="false">
      <c r="A21" s="119" t="s">
        <v>147</v>
      </c>
      <c r="B21" s="120" t="s">
        <v>148</v>
      </c>
      <c r="C21" s="122" t="s">
        <v>149</v>
      </c>
      <c r="D21" s="122"/>
      <c r="E21" s="121"/>
    </row>
    <row r="22" s="102" customFormat="true" ht="15.75" hidden="false" customHeight="true" outlineLevel="0" collapsed="false">
      <c r="A22" s="119" t="s">
        <v>96</v>
      </c>
      <c r="B22" s="120" t="s">
        <v>150</v>
      </c>
      <c r="C22" s="122" t="s">
        <v>151</v>
      </c>
      <c r="D22" s="122"/>
      <c r="E22" s="121"/>
    </row>
    <row r="23" s="116" customFormat="true" ht="15.75" hidden="false" customHeight="false" outlineLevel="0" collapsed="false">
      <c r="A23" s="119" t="s">
        <v>152</v>
      </c>
      <c r="B23" s="120" t="s">
        <v>153</v>
      </c>
      <c r="C23" s="124"/>
      <c r="D23" s="124"/>
      <c r="E23" s="121"/>
      <c r="F23" s="102"/>
      <c r="G23" s="102"/>
      <c r="H23" s="102"/>
      <c r="I23" s="102"/>
      <c r="J23" s="102"/>
      <c r="K23" s="102"/>
      <c r="L23" s="102"/>
      <c r="M23" s="102"/>
    </row>
    <row r="24" s="116" customFormat="true" ht="15.75" hidden="false" customHeight="true" outlineLevel="0" collapsed="false">
      <c r="A24" s="119" t="s">
        <v>154</v>
      </c>
      <c r="B24" s="125" t="s">
        <v>155</v>
      </c>
      <c r="C24" s="124"/>
      <c r="D24" s="124"/>
      <c r="E24" s="121"/>
      <c r="F24" s="102"/>
      <c r="G24" s="102"/>
      <c r="H24" s="102"/>
      <c r="I24" s="102"/>
      <c r="J24" s="102"/>
      <c r="K24" s="102"/>
      <c r="L24" s="102"/>
      <c r="M24" s="102"/>
    </row>
    <row r="25" s="102" customFormat="true" ht="15.75" hidden="false" customHeight="true" outlineLevel="0" collapsed="false">
      <c r="A25" s="126" t="s">
        <v>156</v>
      </c>
      <c r="B25" s="126"/>
      <c r="C25" s="126"/>
      <c r="D25" s="126"/>
      <c r="E25" s="127" t="n">
        <f aca="false">SUM(E18:E24)</f>
        <v>3960</v>
      </c>
      <c r="F25" s="116"/>
      <c r="G25" s="116"/>
      <c r="H25" s="116"/>
      <c r="I25" s="116"/>
      <c r="J25" s="116"/>
      <c r="K25" s="116"/>
      <c r="L25" s="116"/>
      <c r="M25" s="116"/>
    </row>
    <row r="26" s="102" customFormat="true" ht="15.75" hidden="false" customHeight="false" outlineLevel="0" collapsed="false">
      <c r="A26" s="115" t="s">
        <v>157</v>
      </c>
      <c r="B26" s="115"/>
      <c r="C26" s="115"/>
      <c r="D26" s="115"/>
      <c r="E26" s="115"/>
      <c r="F26" s="116"/>
      <c r="G26" s="116"/>
      <c r="H26" s="116"/>
      <c r="I26" s="116"/>
      <c r="J26" s="116"/>
      <c r="K26" s="116"/>
      <c r="L26" s="116"/>
      <c r="M26" s="116"/>
    </row>
    <row r="27" s="102" customFormat="true" ht="30" hidden="false" customHeight="true" outlineLevel="0" collapsed="false">
      <c r="A27" s="128" t="n">
        <v>2</v>
      </c>
      <c r="B27" s="129" t="s">
        <v>158</v>
      </c>
      <c r="C27" s="130" t="s">
        <v>159</v>
      </c>
      <c r="D27" s="131"/>
      <c r="E27" s="132" t="s">
        <v>133</v>
      </c>
    </row>
    <row r="28" customFormat="false" ht="15.75" hidden="false" customHeight="false" outlineLevel="0" collapsed="false">
      <c r="A28" s="133" t="s">
        <v>90</v>
      </c>
      <c r="B28" s="134" t="s">
        <v>160</v>
      </c>
      <c r="C28" s="135" t="n">
        <f aca="false">E25</f>
        <v>3960</v>
      </c>
      <c r="D28" s="136" t="n">
        <f aca="false">1/12</f>
        <v>0.0833</v>
      </c>
      <c r="E28" s="81" t="n">
        <f aca="false">(E25)*D28</f>
        <v>329.87</v>
      </c>
      <c r="F28" s="102"/>
      <c r="G28" s="102"/>
      <c r="H28" s="102"/>
      <c r="I28" s="102"/>
      <c r="J28" s="102"/>
      <c r="K28" s="102"/>
      <c r="L28" s="102"/>
      <c r="M28" s="102"/>
    </row>
    <row r="29" customFormat="false" ht="15.75" hidden="false" customHeight="false" outlineLevel="0" collapsed="false">
      <c r="A29" s="133" t="s">
        <v>94</v>
      </c>
      <c r="B29" s="137" t="s">
        <v>251</v>
      </c>
      <c r="C29" s="135" t="n">
        <f aca="false">E25</f>
        <v>3960</v>
      </c>
      <c r="D29" s="136" t="n">
        <v>0.1111</v>
      </c>
      <c r="E29" s="81" t="n">
        <f aca="false">(E25)*D29</f>
        <v>439.96</v>
      </c>
      <c r="F29" s="102"/>
      <c r="G29" s="102"/>
      <c r="H29" s="102"/>
      <c r="I29" s="102"/>
      <c r="J29" s="102"/>
      <c r="K29" s="102"/>
      <c r="L29" s="102"/>
      <c r="M29" s="102"/>
    </row>
    <row r="30" customFormat="false" ht="15.75" hidden="false" customHeight="true" outlineLevel="0" collapsed="false">
      <c r="A30" s="138" t="s">
        <v>162</v>
      </c>
      <c r="B30" s="138"/>
      <c r="C30" s="138"/>
      <c r="D30" s="139" t="n">
        <f aca="false">SUM(D28:D29)</f>
        <v>0.1944</v>
      </c>
      <c r="E30" s="140" t="n">
        <f aca="false">SUM(E28:E29)</f>
        <v>769.83</v>
      </c>
    </row>
    <row r="31" customFormat="false" ht="30" hidden="false" customHeight="true" outlineLevel="0" collapsed="false">
      <c r="A31" s="141" t="s">
        <v>163</v>
      </c>
      <c r="B31" s="141"/>
      <c r="C31" s="141"/>
      <c r="D31" s="141"/>
      <c r="E31" s="141"/>
    </row>
    <row r="32" customFormat="false" ht="30" hidden="false" customHeight="true" outlineLevel="0" collapsed="false">
      <c r="A32" s="142" t="s">
        <v>164</v>
      </c>
      <c r="B32" s="143" t="s">
        <v>165</v>
      </c>
      <c r="C32" s="144" t="s">
        <v>159</v>
      </c>
      <c r="D32" s="145"/>
      <c r="E32" s="146" t="s">
        <v>133</v>
      </c>
    </row>
    <row r="33" customFormat="false" ht="15.75" hidden="false" customHeight="false" outlineLevel="0" collapsed="false">
      <c r="A33" s="133" t="s">
        <v>90</v>
      </c>
      <c r="B33" s="147" t="s">
        <v>166</v>
      </c>
      <c r="C33" s="135" t="n">
        <f aca="false">E$25+E$30</f>
        <v>4729.83</v>
      </c>
      <c r="D33" s="136" t="n">
        <v>0.2</v>
      </c>
      <c r="E33" s="81" t="n">
        <f aca="false">C33*D33</f>
        <v>945.97</v>
      </c>
    </row>
    <row r="34" customFormat="false" ht="15.75" hidden="false" customHeight="false" outlineLevel="0" collapsed="false">
      <c r="A34" s="133" t="s">
        <v>94</v>
      </c>
      <c r="B34" s="147" t="s">
        <v>167</v>
      </c>
      <c r="C34" s="135" t="n">
        <f aca="false">E$25+E$30</f>
        <v>4729.83</v>
      </c>
      <c r="D34" s="148" t="n">
        <v>0.025</v>
      </c>
      <c r="E34" s="81" t="n">
        <f aca="false">C34*D34</f>
        <v>118.25</v>
      </c>
    </row>
    <row r="35" customFormat="false" ht="35.05" hidden="false" customHeight="false" outlineLevel="0" collapsed="false">
      <c r="A35" s="133" t="s">
        <v>125</v>
      </c>
      <c r="B35" s="149" t="s">
        <v>168</v>
      </c>
      <c r="C35" s="135" t="n">
        <f aca="false">E$25+E$30</f>
        <v>4729.83</v>
      </c>
      <c r="D35" s="148" t="n">
        <v>0.03</v>
      </c>
      <c r="E35" s="81" t="n">
        <f aca="false">C35*D35</f>
        <v>141.89</v>
      </c>
    </row>
    <row r="36" customFormat="false" ht="15.75" hidden="false" customHeight="false" outlineLevel="0" collapsed="false">
      <c r="A36" s="133" t="s">
        <v>147</v>
      </c>
      <c r="B36" s="147" t="s">
        <v>169</v>
      </c>
      <c r="C36" s="135" t="n">
        <f aca="false">E$25+E$30</f>
        <v>4729.83</v>
      </c>
      <c r="D36" s="148" t="n">
        <v>0.015</v>
      </c>
      <c r="E36" s="81" t="n">
        <f aca="false">C36*D36</f>
        <v>70.95</v>
      </c>
    </row>
    <row r="37" customFormat="false" ht="15.75" hidden="false" customHeight="false" outlineLevel="0" collapsed="false">
      <c r="A37" s="133" t="s">
        <v>96</v>
      </c>
      <c r="B37" s="147" t="s">
        <v>170</v>
      </c>
      <c r="C37" s="135" t="n">
        <f aca="false">E$25+E$30</f>
        <v>4729.83</v>
      </c>
      <c r="D37" s="148" t="n">
        <v>0.01</v>
      </c>
      <c r="E37" s="81" t="n">
        <f aca="false">C37*D37</f>
        <v>47.3</v>
      </c>
    </row>
    <row r="38" customFormat="false" ht="15.75" hidden="false" customHeight="false" outlineLevel="0" collapsed="false">
      <c r="A38" s="133" t="s">
        <v>152</v>
      </c>
      <c r="B38" s="150" t="s">
        <v>171</v>
      </c>
      <c r="C38" s="135" t="n">
        <f aca="false">E$25+E$30</f>
        <v>4729.83</v>
      </c>
      <c r="D38" s="148" t="n">
        <v>0.006</v>
      </c>
      <c r="E38" s="81" t="n">
        <f aca="false">C38*D38</f>
        <v>28.38</v>
      </c>
    </row>
    <row r="39" s="151" customFormat="true" ht="15.75" hidden="false" customHeight="false" outlineLevel="0" collapsed="false">
      <c r="A39" s="133" t="s">
        <v>154</v>
      </c>
      <c r="B39" s="149" t="s">
        <v>172</v>
      </c>
      <c r="C39" s="135" t="n">
        <f aca="false">E$25+E$30</f>
        <v>4729.83</v>
      </c>
      <c r="D39" s="148" t="n">
        <v>0.002</v>
      </c>
      <c r="E39" s="81" t="n">
        <f aca="false">C39*D39</f>
        <v>9.46</v>
      </c>
      <c r="F39" s="99"/>
      <c r="G39" s="99"/>
      <c r="H39" s="99"/>
      <c r="I39" s="99"/>
      <c r="J39" s="99"/>
      <c r="K39" s="99"/>
      <c r="L39" s="99"/>
      <c r="M39" s="99"/>
    </row>
    <row r="40" s="151" customFormat="true" ht="15.75" hidden="false" customHeight="false" outlineLevel="0" collapsed="false">
      <c r="A40" s="133" t="s">
        <v>173</v>
      </c>
      <c r="B40" s="147" t="s">
        <v>174</v>
      </c>
      <c r="C40" s="135" t="n">
        <f aca="false">E$25+E$30</f>
        <v>4729.83</v>
      </c>
      <c r="D40" s="148" t="n">
        <v>0.08</v>
      </c>
      <c r="E40" s="81" t="n">
        <f aca="false">C40*D40</f>
        <v>378.39</v>
      </c>
      <c r="F40" s="99"/>
      <c r="G40" s="99"/>
      <c r="H40" s="99"/>
      <c r="I40" s="99"/>
      <c r="J40" s="99"/>
      <c r="K40" s="99"/>
      <c r="L40" s="99"/>
      <c r="M40" s="99"/>
    </row>
    <row r="41" s="151" customFormat="true" ht="15.75" hidden="false" customHeight="true" outlineLevel="0" collapsed="false">
      <c r="A41" s="138" t="s">
        <v>162</v>
      </c>
      <c r="B41" s="138"/>
      <c r="C41" s="138"/>
      <c r="D41" s="152" t="n">
        <f aca="false">SUM(D33:D40)</f>
        <v>0.368</v>
      </c>
      <c r="E41" s="140" t="n">
        <f aca="false">SUM(E33:E40)</f>
        <v>1740.59</v>
      </c>
    </row>
    <row r="42" s="151" customFormat="true" ht="15.75" hidden="false" customHeight="false" outlineLevel="0" collapsed="false">
      <c r="A42" s="153" t="s">
        <v>175</v>
      </c>
      <c r="B42" s="153"/>
      <c r="C42" s="153"/>
      <c r="D42" s="153"/>
      <c r="E42" s="153"/>
    </row>
    <row r="43" s="151" customFormat="true" ht="30" hidden="false" customHeight="true" outlineLevel="0" collapsed="false">
      <c r="A43" s="154" t="s">
        <v>176</v>
      </c>
      <c r="B43" s="155" t="s">
        <v>177</v>
      </c>
      <c r="C43" s="130" t="s">
        <v>159</v>
      </c>
      <c r="D43" s="131"/>
      <c r="E43" s="132" t="s">
        <v>133</v>
      </c>
    </row>
    <row r="44" s="151" customFormat="true" ht="15.75" hidden="false" customHeight="false" outlineLevel="0" collapsed="false">
      <c r="A44" s="156" t="s">
        <v>90</v>
      </c>
      <c r="B44" s="157" t="s">
        <v>178</v>
      </c>
      <c r="C44" s="158"/>
      <c r="D44" s="157"/>
      <c r="E44" s="159"/>
    </row>
    <row r="45" s="151" customFormat="true" ht="15.75" hidden="false" customHeight="false" outlineLevel="0" collapsed="false">
      <c r="A45" s="160" t="s">
        <v>94</v>
      </c>
      <c r="B45" s="125" t="s">
        <v>179</v>
      </c>
      <c r="C45" s="197"/>
      <c r="D45" s="124"/>
      <c r="E45" s="121"/>
    </row>
    <row r="46" s="151" customFormat="true" ht="15.75" hidden="false" customHeight="false" outlineLevel="0" collapsed="false">
      <c r="A46" s="133" t="s">
        <v>125</v>
      </c>
      <c r="B46" s="134" t="s">
        <v>180</v>
      </c>
      <c r="C46" s="162"/>
      <c r="D46" s="163"/>
      <c r="E46" s="81"/>
    </row>
    <row r="47" s="151" customFormat="true" ht="15.75" hidden="false" customHeight="false" outlineLevel="0" collapsed="false">
      <c r="A47" s="133" t="s">
        <v>147</v>
      </c>
      <c r="B47" s="134" t="s">
        <v>181</v>
      </c>
      <c r="C47" s="162"/>
      <c r="D47" s="163"/>
      <c r="E47" s="81"/>
    </row>
    <row r="48" s="151" customFormat="true" ht="15.75" hidden="false" customHeight="false" outlineLevel="0" collapsed="false">
      <c r="A48" s="133" t="s">
        <v>96</v>
      </c>
      <c r="B48" s="134" t="s">
        <v>183</v>
      </c>
      <c r="C48" s="79"/>
      <c r="D48" s="163"/>
      <c r="E48" s="81"/>
    </row>
    <row r="49" s="151" customFormat="true" ht="15.75" hidden="false" customHeight="true" outlineLevel="0" collapsed="false">
      <c r="A49" s="138" t="s">
        <v>184</v>
      </c>
      <c r="B49" s="138"/>
      <c r="C49" s="138"/>
      <c r="D49" s="138"/>
      <c r="E49" s="140" t="n">
        <f aca="false">SUM(E44:E48)</f>
        <v>0</v>
      </c>
    </row>
    <row r="50" s="151" customFormat="true" ht="15.75" hidden="false" customHeight="true" outlineLevel="0" collapsed="false">
      <c r="A50" s="153" t="s">
        <v>185</v>
      </c>
      <c r="B50" s="153"/>
      <c r="C50" s="153"/>
      <c r="D50" s="153"/>
      <c r="E50" s="153"/>
    </row>
    <row r="51" s="151" customFormat="true" ht="15.75" hidden="false" customHeight="true" outlineLevel="0" collapsed="false">
      <c r="A51" s="108" t="s">
        <v>164</v>
      </c>
      <c r="B51" s="164" t="s">
        <v>186</v>
      </c>
      <c r="C51" s="165"/>
      <c r="D51" s="165"/>
      <c r="E51" s="166" t="n">
        <f aca="false">E30</f>
        <v>769.83</v>
      </c>
    </row>
    <row r="52" s="151" customFormat="true" ht="15.75" hidden="false" customHeight="true" outlineLevel="0" collapsed="false">
      <c r="A52" s="108" t="s">
        <v>187</v>
      </c>
      <c r="B52" s="164" t="s">
        <v>188</v>
      </c>
      <c r="C52" s="165"/>
      <c r="D52" s="165"/>
      <c r="E52" s="166" t="n">
        <f aca="false">E41</f>
        <v>1740.59</v>
      </c>
    </row>
    <row r="53" s="151" customFormat="true" ht="15.75" hidden="false" customHeight="true" outlineLevel="0" collapsed="false">
      <c r="A53" s="108" t="s">
        <v>176</v>
      </c>
      <c r="B53" s="164" t="s">
        <v>189</v>
      </c>
      <c r="C53" s="165"/>
      <c r="D53" s="165"/>
      <c r="E53" s="166" t="n">
        <f aca="false">E49</f>
        <v>0</v>
      </c>
    </row>
    <row r="54" s="151" customFormat="true" ht="15.75" hidden="false" customHeight="true" outlineLevel="0" collapsed="false">
      <c r="A54" s="126" t="s">
        <v>190</v>
      </c>
      <c r="B54" s="126"/>
      <c r="C54" s="126"/>
      <c r="D54" s="126"/>
      <c r="E54" s="127" t="n">
        <f aca="false">SUM(E51:E53)</f>
        <v>2510.42</v>
      </c>
    </row>
    <row r="55" s="151" customFormat="true" ht="15.75" hidden="false" customHeight="true" outlineLevel="0" collapsed="false">
      <c r="A55" s="115" t="s">
        <v>191</v>
      </c>
      <c r="B55" s="115"/>
      <c r="C55" s="115"/>
      <c r="D55" s="115"/>
      <c r="E55" s="115"/>
    </row>
    <row r="56" s="151" customFormat="true" ht="30" hidden="false" customHeight="true" outlineLevel="0" collapsed="false">
      <c r="A56" s="142" t="s">
        <v>192</v>
      </c>
      <c r="B56" s="143" t="s">
        <v>193</v>
      </c>
      <c r="C56" s="167" t="s">
        <v>159</v>
      </c>
      <c r="D56" s="46"/>
      <c r="E56" s="146" t="s">
        <v>133</v>
      </c>
    </row>
    <row r="57" s="151" customFormat="true" ht="15.75" hidden="false" customHeight="true" outlineLevel="0" collapsed="false">
      <c r="A57" s="133" t="s">
        <v>90</v>
      </c>
      <c r="B57" s="134" t="s">
        <v>194</v>
      </c>
      <c r="C57" s="168" t="n">
        <f aca="false">E$25+E$30</f>
        <v>4729.83</v>
      </c>
      <c r="D57" s="136" t="n">
        <v>0.0046</v>
      </c>
      <c r="E57" s="81" t="n">
        <f aca="false">C57*D57</f>
        <v>21.76</v>
      </c>
    </row>
    <row r="58" s="151" customFormat="true" ht="15.75" hidden="false" customHeight="true" outlineLevel="0" collapsed="false">
      <c r="A58" s="133" t="s">
        <v>94</v>
      </c>
      <c r="B58" s="134" t="s">
        <v>195</v>
      </c>
      <c r="C58" s="168" t="n">
        <f aca="false">E$25+E$30</f>
        <v>4729.83</v>
      </c>
      <c r="D58" s="136" t="n">
        <v>0.0004</v>
      </c>
      <c r="E58" s="81" t="n">
        <f aca="false">C58*D58</f>
        <v>1.89</v>
      </c>
    </row>
    <row r="59" s="151" customFormat="true" ht="15.75" hidden="false" customHeight="true" outlineLevel="0" collapsed="false">
      <c r="A59" s="133" t="s">
        <v>125</v>
      </c>
      <c r="B59" s="134" t="s">
        <v>196</v>
      </c>
      <c r="C59" s="168" t="n">
        <f aca="false">E$25+E$30</f>
        <v>4729.83</v>
      </c>
      <c r="D59" s="136" t="n">
        <v>0.0194</v>
      </c>
      <c r="E59" s="81" t="n">
        <f aca="false">C59*D59</f>
        <v>91.76</v>
      </c>
    </row>
    <row r="60" s="151" customFormat="true" ht="30" hidden="false" customHeight="true" outlineLevel="0" collapsed="false">
      <c r="A60" s="133" t="s">
        <v>147</v>
      </c>
      <c r="B60" s="145" t="s">
        <v>197</v>
      </c>
      <c r="C60" s="168" t="n">
        <f aca="false">E$25+E$30</f>
        <v>4729.83</v>
      </c>
      <c r="D60" s="169" t="n">
        <f aca="false">D41*D59</f>
        <v>0.0071</v>
      </c>
      <c r="E60" s="81" t="n">
        <f aca="false">C60*D60</f>
        <v>33.58</v>
      </c>
    </row>
    <row r="61" s="151" customFormat="true" ht="32.25" hidden="false" customHeight="true" outlineLevel="0" collapsed="false">
      <c r="A61" s="133" t="s">
        <v>96</v>
      </c>
      <c r="B61" s="134" t="s">
        <v>198</v>
      </c>
      <c r="C61" s="168" t="n">
        <f aca="false">E$25+E$30</f>
        <v>4729.83</v>
      </c>
      <c r="D61" s="136" t="n">
        <v>0.04</v>
      </c>
      <c r="E61" s="81" t="n">
        <f aca="false">C61*D61</f>
        <v>189.19</v>
      </c>
    </row>
    <row r="62" s="151" customFormat="true" ht="15.75" hidden="false" customHeight="true" outlineLevel="0" collapsed="false">
      <c r="A62" s="126" t="s">
        <v>199</v>
      </c>
      <c r="B62" s="126"/>
      <c r="C62" s="126"/>
      <c r="D62" s="170" t="n">
        <f aca="false">SUM(D57:D61)</f>
        <v>0.0715</v>
      </c>
      <c r="E62" s="127" t="n">
        <f aca="false">SUM(E57:E61)</f>
        <v>338.18</v>
      </c>
    </row>
    <row r="63" s="151" customFormat="true" ht="15.75" hidden="false" customHeight="true" outlineLevel="0" collapsed="false">
      <c r="A63" s="115" t="s">
        <v>200</v>
      </c>
      <c r="B63" s="115"/>
      <c r="C63" s="115"/>
      <c r="D63" s="115"/>
      <c r="E63" s="115"/>
    </row>
    <row r="64" s="151" customFormat="true" ht="23.85" hidden="false" customHeight="false" outlineLevel="0" collapsed="false">
      <c r="A64" s="142" t="s">
        <v>201</v>
      </c>
      <c r="B64" s="171" t="s">
        <v>202</v>
      </c>
      <c r="C64" s="167" t="s">
        <v>159</v>
      </c>
      <c r="D64" s="172"/>
      <c r="E64" s="146" t="s">
        <v>133</v>
      </c>
    </row>
    <row r="65" s="151" customFormat="true" ht="15.75" hidden="false" customHeight="false" outlineLevel="0" collapsed="false">
      <c r="A65" s="133" t="s">
        <v>90</v>
      </c>
      <c r="B65" s="134" t="s">
        <v>203</v>
      </c>
      <c r="C65" s="173" t="n">
        <f aca="false">E$25+E$54+E$62+E85</f>
        <v>7158.4</v>
      </c>
      <c r="D65" s="136" t="n">
        <f aca="false">D29/12</f>
        <v>0.0093</v>
      </c>
      <c r="E65" s="81" t="n">
        <f aca="false">C65*D65</f>
        <v>66.57</v>
      </c>
    </row>
    <row r="66" s="151" customFormat="true" ht="15.75" hidden="false" customHeight="false" outlineLevel="0" collapsed="false">
      <c r="A66" s="133" t="s">
        <v>94</v>
      </c>
      <c r="B66" s="134" t="s">
        <v>204</v>
      </c>
      <c r="C66" s="173" t="n">
        <f aca="false">E$25+E$54+E$62+E85</f>
        <v>7158.4</v>
      </c>
      <c r="D66" s="136" t="n">
        <v>0.0139</v>
      </c>
      <c r="E66" s="81" t="n">
        <f aca="false">C66*D66</f>
        <v>99.5</v>
      </c>
    </row>
    <row r="67" s="151" customFormat="true" ht="15.75" hidden="false" customHeight="false" outlineLevel="0" collapsed="false">
      <c r="A67" s="133" t="s">
        <v>125</v>
      </c>
      <c r="B67" s="134" t="s">
        <v>205</v>
      </c>
      <c r="C67" s="173" t="n">
        <f aca="false">E$25+E$54+E$62+E85</f>
        <v>7158.4</v>
      </c>
      <c r="D67" s="136" t="n">
        <v>0.0013</v>
      </c>
      <c r="E67" s="81" t="n">
        <f aca="false">C67*D67</f>
        <v>9.31</v>
      </c>
    </row>
    <row r="68" s="151" customFormat="true" ht="15.75" hidden="false" customHeight="false" outlineLevel="0" collapsed="false">
      <c r="A68" s="133" t="s">
        <v>147</v>
      </c>
      <c r="B68" s="134" t="s">
        <v>206</v>
      </c>
      <c r="C68" s="173" t="n">
        <f aca="false">E$25+E$54+E$62+E85</f>
        <v>7158.4</v>
      </c>
      <c r="D68" s="136" t="n">
        <v>0.0002</v>
      </c>
      <c r="E68" s="81" t="n">
        <f aca="false">C68*D68</f>
        <v>1.43</v>
      </c>
    </row>
    <row r="69" s="151" customFormat="true" ht="15.75" hidden="false" customHeight="false" outlineLevel="0" collapsed="false">
      <c r="A69" s="133" t="s">
        <v>96</v>
      </c>
      <c r="B69" s="134" t="s">
        <v>207</v>
      </c>
      <c r="C69" s="173" t="n">
        <f aca="false">E$25+E$54+E$62+E85</f>
        <v>7158.4</v>
      </c>
      <c r="D69" s="136" t="n">
        <v>0.0028</v>
      </c>
      <c r="E69" s="81" t="n">
        <f aca="false">C69*D69</f>
        <v>20.04</v>
      </c>
    </row>
    <row r="70" s="151" customFormat="true" ht="15.75" hidden="false" customHeight="false" outlineLevel="0" collapsed="false">
      <c r="A70" s="133" t="s">
        <v>152</v>
      </c>
      <c r="B70" s="134" t="s">
        <v>208</v>
      </c>
      <c r="C70" s="173" t="n">
        <f aca="false">E$25+E$54+E$62+E85</f>
        <v>7158.4</v>
      </c>
      <c r="D70" s="136" t="n">
        <v>0.0003</v>
      </c>
      <c r="E70" s="81" t="n">
        <f aca="false">C70*D70</f>
        <v>2.15</v>
      </c>
    </row>
    <row r="71" s="151" customFormat="true" ht="15.75" hidden="false" customHeight="false" outlineLevel="0" collapsed="false">
      <c r="A71" s="133" t="s">
        <v>154</v>
      </c>
      <c r="B71" s="174" t="s">
        <v>209</v>
      </c>
      <c r="C71" s="173" t="n">
        <f aca="false">E$25+E$54+E$62+E85</f>
        <v>7158.4</v>
      </c>
      <c r="D71" s="136" t="n">
        <v>0</v>
      </c>
      <c r="E71" s="81" t="n">
        <f aca="false">C71*D71</f>
        <v>0</v>
      </c>
    </row>
    <row r="72" s="151" customFormat="true" ht="15.75" hidden="false" customHeight="true" outlineLevel="0" collapsed="false">
      <c r="A72" s="138" t="s">
        <v>210</v>
      </c>
      <c r="B72" s="138"/>
      <c r="C72" s="138"/>
      <c r="D72" s="175" t="n">
        <f aca="false">SUM(D65:D71)</f>
        <v>0.0278</v>
      </c>
      <c r="E72" s="140" t="n">
        <f aca="false">SUM(E65:E71)</f>
        <v>199</v>
      </c>
    </row>
    <row r="73" s="151" customFormat="true" ht="15.75" hidden="false" customHeight="true" outlineLevel="0" collapsed="false">
      <c r="A73" s="153" t="s">
        <v>211</v>
      </c>
      <c r="B73" s="153"/>
      <c r="C73" s="153"/>
      <c r="D73" s="153"/>
      <c r="E73" s="153"/>
    </row>
    <row r="74" s="151" customFormat="true" ht="15.75" hidden="false" customHeight="false" outlineLevel="0" collapsed="false">
      <c r="A74" s="142"/>
      <c r="B74" s="143" t="s">
        <v>211</v>
      </c>
      <c r="C74" s="145"/>
      <c r="D74" s="145"/>
      <c r="E74" s="146" t="s">
        <v>133</v>
      </c>
    </row>
    <row r="75" s="151" customFormat="true" ht="15.75" hidden="false" customHeight="true" outlineLevel="0" collapsed="false">
      <c r="A75" s="133" t="s">
        <v>90</v>
      </c>
      <c r="B75" s="134" t="s">
        <v>212</v>
      </c>
      <c r="C75" s="162"/>
      <c r="D75" s="136" t="n">
        <v>0</v>
      </c>
      <c r="E75" s="81" t="n">
        <f aca="false">(E$25+E$54+E$62)*D75</f>
        <v>0</v>
      </c>
    </row>
    <row r="76" s="151" customFormat="true" ht="15.75" hidden="false" customHeight="true" outlineLevel="0" collapsed="false">
      <c r="A76" s="138" t="s">
        <v>213</v>
      </c>
      <c r="B76" s="138"/>
      <c r="C76" s="138"/>
      <c r="D76" s="139" t="n">
        <f aca="false">SUM(D75)</f>
        <v>0</v>
      </c>
      <c r="E76" s="140" t="n">
        <f aca="false">SUM(E75)</f>
        <v>0</v>
      </c>
    </row>
    <row r="77" s="151" customFormat="true" ht="15.75" hidden="false" customHeight="true" outlineLevel="0" collapsed="false">
      <c r="A77" s="176" t="s">
        <v>214</v>
      </c>
      <c r="B77" s="176"/>
      <c r="C77" s="176"/>
      <c r="D77" s="176"/>
      <c r="E77" s="176"/>
    </row>
    <row r="78" s="151" customFormat="true" ht="15.75" hidden="false" customHeight="true" outlineLevel="0" collapsed="false">
      <c r="A78" s="142" t="n">
        <v>4</v>
      </c>
      <c r="B78" s="177" t="s">
        <v>215</v>
      </c>
      <c r="C78" s="178"/>
      <c r="D78" s="179"/>
      <c r="E78" s="146" t="s">
        <v>133</v>
      </c>
    </row>
    <row r="79" s="151" customFormat="true" ht="15.75" hidden="false" customHeight="true" outlineLevel="0" collapsed="false">
      <c r="A79" s="133" t="s">
        <v>201</v>
      </c>
      <c r="B79" s="134" t="s">
        <v>202</v>
      </c>
      <c r="C79" s="178"/>
      <c r="D79" s="136" t="n">
        <f aca="false">D72</f>
        <v>0.0278</v>
      </c>
      <c r="E79" s="81" t="n">
        <f aca="false">'EPI''s e Uniformes'!I12</f>
        <v>349.8</v>
      </c>
    </row>
    <row r="80" s="151" customFormat="true" ht="15.75" hidden="false" customHeight="true" outlineLevel="0" collapsed="false">
      <c r="A80" s="133" t="s">
        <v>216</v>
      </c>
      <c r="B80" s="134" t="s">
        <v>211</v>
      </c>
      <c r="C80" s="178"/>
      <c r="D80" s="136" t="n">
        <v>0</v>
      </c>
      <c r="E80" s="81" t="n">
        <f aca="false">(D$25+D$53+D$61)*D80</f>
        <v>0</v>
      </c>
    </row>
    <row r="81" s="151" customFormat="true" ht="15.75" hidden="false" customHeight="true" outlineLevel="0" collapsed="false">
      <c r="A81" s="138" t="s">
        <v>162</v>
      </c>
      <c r="B81" s="138"/>
      <c r="C81" s="138"/>
      <c r="D81" s="139" t="n">
        <f aca="false">SUM(D79:D80)</f>
        <v>0.0278</v>
      </c>
      <c r="E81" s="140" t="n">
        <f aca="false">SUM(E79:E80)</f>
        <v>349.8</v>
      </c>
    </row>
    <row r="82" s="151" customFormat="true" ht="15.75" hidden="false" customHeight="true" outlineLevel="0" collapsed="false">
      <c r="A82" s="126" t="s">
        <v>217</v>
      </c>
      <c r="B82" s="126"/>
      <c r="C82" s="126"/>
      <c r="D82" s="126"/>
      <c r="E82" s="127" t="n">
        <f aca="false">SUM(E72+E76)</f>
        <v>199</v>
      </c>
    </row>
    <row r="83" s="151" customFormat="true" ht="15.75" hidden="false" customHeight="true" outlineLevel="0" collapsed="false">
      <c r="A83" s="115" t="s">
        <v>218</v>
      </c>
      <c r="B83" s="115"/>
      <c r="C83" s="115"/>
      <c r="D83" s="115"/>
      <c r="E83" s="115"/>
    </row>
    <row r="84" s="151" customFormat="true" ht="15.75" hidden="false" customHeight="true" outlineLevel="0" collapsed="false">
      <c r="A84" s="142" t="n">
        <v>5</v>
      </c>
      <c r="B84" s="143" t="s">
        <v>219</v>
      </c>
      <c r="C84" s="145"/>
      <c r="D84" s="145"/>
      <c r="E84" s="146" t="s">
        <v>133</v>
      </c>
    </row>
    <row r="85" s="151" customFormat="true" ht="15.75" hidden="false" customHeight="true" outlineLevel="0" collapsed="false">
      <c r="A85" s="160" t="s">
        <v>90</v>
      </c>
      <c r="B85" s="125" t="s">
        <v>220</v>
      </c>
      <c r="C85" s="180"/>
      <c r="D85" s="181"/>
      <c r="E85" s="81" t="n">
        <f aca="false">'EPI''s e Uniformes'!I12</f>
        <v>349.8</v>
      </c>
    </row>
    <row r="86" s="151" customFormat="true" ht="15.75" hidden="false" customHeight="true" outlineLevel="0" collapsed="false">
      <c r="A86" s="160" t="s">
        <v>94</v>
      </c>
      <c r="B86" s="125" t="s">
        <v>221</v>
      </c>
      <c r="C86" s="180"/>
      <c r="D86" s="181"/>
      <c r="E86" s="81" t="n">
        <v>0</v>
      </c>
    </row>
    <row r="87" s="151" customFormat="true" ht="15.75" hidden="false" customHeight="true" outlineLevel="0" collapsed="false">
      <c r="A87" s="160" t="s">
        <v>125</v>
      </c>
      <c r="B87" s="125" t="s">
        <v>222</v>
      </c>
      <c r="C87" s="180"/>
      <c r="D87" s="181"/>
      <c r="E87" s="81" t="n">
        <v>0</v>
      </c>
    </row>
    <row r="88" s="151" customFormat="true" ht="15.75" hidden="false" customHeight="true" outlineLevel="0" collapsed="false">
      <c r="A88" s="160" t="s">
        <v>147</v>
      </c>
      <c r="B88" s="125" t="s">
        <v>223</v>
      </c>
      <c r="C88" s="180"/>
      <c r="D88" s="181"/>
      <c r="E88" s="81" t="n">
        <v>0</v>
      </c>
    </row>
    <row r="89" s="151" customFormat="true" ht="15.75" hidden="false" customHeight="true" outlineLevel="0" collapsed="false">
      <c r="A89" s="126" t="s">
        <v>224</v>
      </c>
      <c r="B89" s="126"/>
      <c r="C89" s="126"/>
      <c r="D89" s="126"/>
      <c r="E89" s="127" t="n">
        <f aca="false">SUM(E85:E88)</f>
        <v>349.8</v>
      </c>
    </row>
    <row r="90" s="151" customFormat="true" ht="23.25" hidden="false" customHeight="true" outlineLevel="0" collapsed="false">
      <c r="A90" s="128" t="s">
        <v>225</v>
      </c>
      <c r="B90" s="128"/>
      <c r="C90" s="128"/>
      <c r="D90" s="128"/>
      <c r="E90" s="182" t="n">
        <f aca="false">E89+E82+E62+E54+E25</f>
        <v>7357.4</v>
      </c>
    </row>
    <row r="91" s="151" customFormat="true" ht="19.5" hidden="false" customHeight="true" outlineLevel="0" collapsed="false">
      <c r="A91" s="115" t="s">
        <v>226</v>
      </c>
      <c r="B91" s="115"/>
      <c r="C91" s="115"/>
      <c r="D91" s="115"/>
      <c r="E91" s="115"/>
    </row>
    <row r="92" s="151" customFormat="true" ht="30" hidden="false" customHeight="true" outlineLevel="0" collapsed="false">
      <c r="A92" s="142" t="n">
        <v>6</v>
      </c>
      <c r="B92" s="143" t="s">
        <v>227</v>
      </c>
      <c r="C92" s="144" t="s">
        <v>159</v>
      </c>
      <c r="D92" s="144"/>
      <c r="E92" s="146" t="s">
        <v>133</v>
      </c>
    </row>
    <row r="93" s="151" customFormat="true" ht="15.75" hidden="false" customHeight="false" outlineLevel="0" collapsed="false">
      <c r="A93" s="133" t="s">
        <v>90</v>
      </c>
      <c r="B93" s="134" t="s">
        <v>228</v>
      </c>
      <c r="C93" s="183" t="n">
        <f aca="false">E90</f>
        <v>7357.4</v>
      </c>
      <c r="D93" s="136" t="n">
        <v>0.05</v>
      </c>
      <c r="E93" s="81" t="n">
        <f aca="false">+C93*D93</f>
        <v>367.87</v>
      </c>
    </row>
    <row r="94" s="151" customFormat="true" ht="15.75" hidden="false" customHeight="false" outlineLevel="0" collapsed="false">
      <c r="A94" s="133" t="s">
        <v>94</v>
      </c>
      <c r="B94" s="134" t="s">
        <v>229</v>
      </c>
      <c r="C94" s="183" t="n">
        <f aca="false">E90+E93</f>
        <v>7725.27</v>
      </c>
      <c r="D94" s="136" t="n">
        <v>0.1</v>
      </c>
      <c r="E94" s="81" t="n">
        <f aca="false">D94*C94</f>
        <v>772.53</v>
      </c>
    </row>
    <row r="95" s="151" customFormat="true" ht="30.75" hidden="false" customHeight="true" outlineLevel="0" collapsed="false">
      <c r="A95" s="133"/>
      <c r="B95" s="134" t="s">
        <v>230</v>
      </c>
      <c r="C95" s="134"/>
      <c r="D95" s="136" t="n">
        <f aca="false">1-D102</f>
        <v>0.8575</v>
      </c>
      <c r="E95" s="81" t="n">
        <f aca="false">+E90+E93+E94</f>
        <v>8497.8</v>
      </c>
    </row>
    <row r="96" s="151" customFormat="true" ht="15.75" hidden="false" customHeight="false" outlineLevel="0" collapsed="false">
      <c r="A96" s="133"/>
      <c r="B96" s="174"/>
      <c r="C96" s="184"/>
      <c r="D96" s="79"/>
      <c r="E96" s="185" t="n">
        <f aca="false">+E95/D95</f>
        <v>9909.97</v>
      </c>
    </row>
    <row r="97" s="151" customFormat="true" ht="15.75" hidden="false" customHeight="false" outlineLevel="0" collapsed="false">
      <c r="A97" s="133" t="s">
        <v>125</v>
      </c>
      <c r="B97" s="174" t="s">
        <v>231</v>
      </c>
      <c r="C97" s="184"/>
      <c r="D97" s="186" t="n">
        <f aca="false">D99+D100+D101</f>
        <v>0.1425</v>
      </c>
      <c r="E97" s="185"/>
    </row>
    <row r="98" s="151" customFormat="true" ht="15.75" hidden="false" customHeight="false" outlineLevel="0" collapsed="false">
      <c r="A98" s="133" t="s">
        <v>232</v>
      </c>
      <c r="B98" s="174" t="s">
        <v>233</v>
      </c>
      <c r="C98" s="174"/>
      <c r="D98" s="186" t="n">
        <f aca="false">D99+D100</f>
        <v>0.0925</v>
      </c>
      <c r="E98" s="81"/>
    </row>
    <row r="99" s="151" customFormat="true" ht="15.75" hidden="false" customHeight="false" outlineLevel="0" collapsed="false">
      <c r="A99" s="133" t="s">
        <v>234</v>
      </c>
      <c r="B99" s="134" t="s">
        <v>235</v>
      </c>
      <c r="C99" s="80" t="n">
        <f aca="false">E96</f>
        <v>9909.97</v>
      </c>
      <c r="D99" s="136" t="n">
        <v>0.0165</v>
      </c>
      <c r="E99" s="81" t="n">
        <f aca="false">C99*D99</f>
        <v>163.51</v>
      </c>
    </row>
    <row r="100" s="151" customFormat="true" ht="15.75" hidden="false" customHeight="false" outlineLevel="0" collapsed="false">
      <c r="A100" s="133" t="s">
        <v>236</v>
      </c>
      <c r="B100" s="134" t="s">
        <v>237</v>
      </c>
      <c r="C100" s="80" t="n">
        <f aca="false">E96</f>
        <v>9909.97</v>
      </c>
      <c r="D100" s="136" t="n">
        <v>0.076</v>
      </c>
      <c r="E100" s="81" t="n">
        <f aca="false">+C100*D100</f>
        <v>753.16</v>
      </c>
    </row>
    <row r="101" s="151" customFormat="true" ht="15.75" hidden="false" customHeight="false" outlineLevel="0" collapsed="false">
      <c r="A101" s="133" t="s">
        <v>238</v>
      </c>
      <c r="B101" s="134" t="s">
        <v>239</v>
      </c>
      <c r="C101" s="80" t="n">
        <f aca="false">E96</f>
        <v>9909.97</v>
      </c>
      <c r="D101" s="136" t="n">
        <v>0.05</v>
      </c>
      <c r="E101" s="81" t="n">
        <f aca="false">C101*D101</f>
        <v>495.5</v>
      </c>
    </row>
    <row r="102" s="151" customFormat="true" ht="15.75" hidden="false" customHeight="false" outlineLevel="0" collapsed="false">
      <c r="A102" s="142"/>
      <c r="B102" s="187" t="s">
        <v>240</v>
      </c>
      <c r="C102" s="187"/>
      <c r="D102" s="188" t="n">
        <f aca="false">D97</f>
        <v>0.1425</v>
      </c>
      <c r="E102" s="81" t="n">
        <f aca="false">SUM(E99:E101)</f>
        <v>1412.17</v>
      </c>
    </row>
    <row r="103" s="151" customFormat="true" ht="15.75" hidden="false" customHeight="true" outlineLevel="0" collapsed="false">
      <c r="A103" s="138" t="s">
        <v>241</v>
      </c>
      <c r="B103" s="138"/>
      <c r="C103" s="138"/>
      <c r="D103" s="138"/>
      <c r="E103" s="140" t="n">
        <f aca="false">+E93+E94+E102</f>
        <v>2552.57</v>
      </c>
    </row>
    <row r="104" s="151" customFormat="true" ht="15.75" hidden="false" customHeight="true" outlineLevel="0" collapsed="false">
      <c r="A104" s="189" t="s">
        <v>242</v>
      </c>
      <c r="B104" s="189"/>
      <c r="C104" s="189"/>
      <c r="D104" s="189"/>
      <c r="E104" s="190" t="s">
        <v>133</v>
      </c>
    </row>
    <row r="105" s="151" customFormat="true" ht="15.75" hidden="false" customHeight="true" outlineLevel="0" collapsed="false">
      <c r="A105" s="133" t="s">
        <v>90</v>
      </c>
      <c r="B105" s="174" t="s">
        <v>243</v>
      </c>
      <c r="C105" s="174"/>
      <c r="D105" s="174"/>
      <c r="E105" s="81" t="n">
        <f aca="false">+E25</f>
        <v>3960</v>
      </c>
    </row>
    <row r="106" s="151" customFormat="true" ht="15.75" hidden="false" customHeight="true" outlineLevel="0" collapsed="false">
      <c r="A106" s="133" t="s">
        <v>94</v>
      </c>
      <c r="B106" s="174" t="s">
        <v>244</v>
      </c>
      <c r="C106" s="174"/>
      <c r="D106" s="174"/>
      <c r="E106" s="81" t="n">
        <f aca="false">+E54</f>
        <v>2510.42</v>
      </c>
    </row>
    <row r="107" s="151" customFormat="true" ht="15.75" hidden="false" customHeight="true" outlineLevel="0" collapsed="false">
      <c r="A107" s="133" t="s">
        <v>125</v>
      </c>
      <c r="B107" s="174" t="s">
        <v>245</v>
      </c>
      <c r="C107" s="174"/>
      <c r="D107" s="174"/>
      <c r="E107" s="81" t="n">
        <f aca="false">E62</f>
        <v>338.18</v>
      </c>
    </row>
    <row r="108" s="151" customFormat="true" ht="15.75" hidden="false" customHeight="true" outlineLevel="0" collapsed="false">
      <c r="A108" s="133" t="s">
        <v>147</v>
      </c>
      <c r="B108" s="174" t="s">
        <v>246</v>
      </c>
      <c r="C108" s="174"/>
      <c r="D108" s="174"/>
      <c r="E108" s="81" t="n">
        <f aca="false">E82</f>
        <v>199</v>
      </c>
    </row>
    <row r="109" s="151" customFormat="true" ht="15.75" hidden="false" customHeight="true" outlineLevel="0" collapsed="false">
      <c r="A109" s="133" t="s">
        <v>96</v>
      </c>
      <c r="B109" s="174" t="s">
        <v>247</v>
      </c>
      <c r="C109" s="174"/>
      <c r="D109" s="174"/>
      <c r="E109" s="81" t="n">
        <f aca="false">E89</f>
        <v>349.8</v>
      </c>
    </row>
    <row r="110" s="151" customFormat="true" ht="15.75" hidden="false" customHeight="true" outlineLevel="0" collapsed="false">
      <c r="A110" s="142" t="s">
        <v>252</v>
      </c>
      <c r="B110" s="142"/>
      <c r="C110" s="142"/>
      <c r="D110" s="142"/>
      <c r="E110" s="191" t="n">
        <f aca="false">SUM(E105:E109)</f>
        <v>7357.4</v>
      </c>
    </row>
    <row r="111" customFormat="false" ht="15.75" hidden="false" customHeight="true" outlineLevel="0" collapsed="false">
      <c r="A111" s="133" t="s">
        <v>152</v>
      </c>
      <c r="B111" s="174" t="s">
        <v>249</v>
      </c>
      <c r="C111" s="174"/>
      <c r="D111" s="174"/>
      <c r="E111" s="81" t="n">
        <f aca="false">+E103</f>
        <v>2552.57</v>
      </c>
      <c r="F111" s="151"/>
      <c r="G111" s="151"/>
      <c r="H111" s="151"/>
      <c r="I111" s="151"/>
      <c r="J111" s="151"/>
      <c r="K111" s="151"/>
      <c r="L111" s="151"/>
      <c r="M111" s="151"/>
    </row>
    <row r="112" customFormat="false" ht="16.5" hidden="false" customHeight="true" outlineLevel="0" collapsed="false">
      <c r="A112" s="192" t="s">
        <v>250</v>
      </c>
      <c r="B112" s="192"/>
      <c r="C112" s="192"/>
      <c r="D112" s="192"/>
      <c r="E112" s="193" t="n">
        <f aca="false">+E110+E111</f>
        <v>9909.97</v>
      </c>
      <c r="F112" s="151"/>
      <c r="G112" s="151"/>
      <c r="H112" s="151"/>
      <c r="I112" s="151"/>
      <c r="J112" s="151"/>
      <c r="K112" s="151"/>
      <c r="L112" s="151"/>
      <c r="M112" s="151"/>
    </row>
    <row r="113" customFormat="false" ht="15.75" hidden="false" customHeight="true" outlineLevel="0" collapsed="false">
      <c r="A113" s="198" t="s">
        <v>253</v>
      </c>
      <c r="B113" s="198"/>
      <c r="C113" s="198"/>
      <c r="D113" s="198"/>
      <c r="E113" s="198"/>
    </row>
    <row r="114" customFormat="false" ht="15.75" hidden="false" customHeight="true" outlineLevel="0" collapsed="false">
      <c r="A114" s="199" t="s">
        <v>254</v>
      </c>
      <c r="B114" s="199"/>
      <c r="C114" s="199"/>
      <c r="D114" s="199"/>
      <c r="E114" s="199"/>
    </row>
    <row r="115" customFormat="false" ht="15.75" hidden="false" customHeight="false" outlineLevel="0" collapsed="false">
      <c r="A115" s="199"/>
      <c r="B115" s="199"/>
      <c r="C115" s="199"/>
      <c r="D115" s="199"/>
      <c r="E115" s="199"/>
    </row>
    <row r="116" customFormat="false" ht="15.75" hidden="false" customHeight="false" outlineLevel="0" collapsed="false">
      <c r="A116" s="199"/>
      <c r="B116" s="199"/>
      <c r="C116" s="199"/>
      <c r="D116" s="199"/>
      <c r="E116" s="199"/>
    </row>
    <row r="117" customFormat="false" ht="15.75" hidden="false" customHeight="false" outlineLevel="0" collapsed="false">
      <c r="A117" s="199"/>
      <c r="B117" s="199"/>
      <c r="C117" s="199"/>
      <c r="D117" s="199"/>
      <c r="E117" s="199"/>
    </row>
    <row r="118" customFormat="false" ht="15.75" hidden="false" customHeight="false" outlineLevel="0" collapsed="false">
      <c r="A118" s="199"/>
      <c r="B118" s="199"/>
      <c r="C118" s="199"/>
      <c r="D118" s="199"/>
      <c r="E118" s="199"/>
    </row>
    <row r="119" customFormat="false" ht="15.75" hidden="false" customHeight="false" outlineLevel="0" collapsed="false">
      <c r="A119" s="199"/>
      <c r="B119" s="199"/>
      <c r="C119" s="199"/>
      <c r="D119" s="199"/>
      <c r="E119" s="199"/>
    </row>
  </sheetData>
  <mergeCells count="58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C18:D18"/>
    <mergeCell ref="C19:D19"/>
    <mergeCell ref="C20:D20"/>
    <mergeCell ref="C21:D21"/>
    <mergeCell ref="C22:D22"/>
    <mergeCell ref="C23:D23"/>
    <mergeCell ref="C24:D24"/>
    <mergeCell ref="A25:D25"/>
    <mergeCell ref="A26:E26"/>
    <mergeCell ref="A30:C30"/>
    <mergeCell ref="A31:E31"/>
    <mergeCell ref="A41:C41"/>
    <mergeCell ref="A42:E42"/>
    <mergeCell ref="A49:D49"/>
    <mergeCell ref="A50:E50"/>
    <mergeCell ref="A54:D54"/>
    <mergeCell ref="A55:E55"/>
    <mergeCell ref="A62:C62"/>
    <mergeCell ref="A63:E63"/>
    <mergeCell ref="A72:C72"/>
    <mergeCell ref="A73:E73"/>
    <mergeCell ref="A76:C76"/>
    <mergeCell ref="A77:E77"/>
    <mergeCell ref="A81:C81"/>
    <mergeCell ref="A82:D82"/>
    <mergeCell ref="A83:E83"/>
    <mergeCell ref="A89:D89"/>
    <mergeCell ref="A90:D90"/>
    <mergeCell ref="A91:E91"/>
    <mergeCell ref="A103:D103"/>
    <mergeCell ref="A104:D104"/>
    <mergeCell ref="B105:D105"/>
    <mergeCell ref="B106:D106"/>
    <mergeCell ref="B107:D107"/>
    <mergeCell ref="B108:D108"/>
    <mergeCell ref="B109:D109"/>
    <mergeCell ref="A110:D110"/>
    <mergeCell ref="B111:D111"/>
    <mergeCell ref="A112:D112"/>
    <mergeCell ref="A113:E113"/>
    <mergeCell ref="A114:E119"/>
  </mergeCells>
  <hyperlinks>
    <hyperlink ref="B38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E18" activeCellId="0" sqref="E18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9.86"/>
    <col collapsed="false" customWidth="true" hidden="false" outlineLevel="0" max="2" min="2" style="1" width="70.71"/>
    <col collapsed="false" customWidth="true" hidden="false" outlineLevel="0" max="9" min="3" style="1" width="12.71"/>
  </cols>
  <sheetData>
    <row r="1" customFormat="false" ht="15" hidden="false" customHeight="true" outlineLevel="0" collapsed="false">
      <c r="A1" s="200" t="s">
        <v>255</v>
      </c>
      <c r="B1" s="200"/>
      <c r="C1" s="200"/>
      <c r="D1" s="200"/>
      <c r="E1" s="200"/>
      <c r="F1" s="200"/>
      <c r="G1" s="200"/>
      <c r="H1" s="200"/>
      <c r="I1" s="200"/>
    </row>
    <row r="2" customFormat="false" ht="30" hidden="false" customHeight="true" outlineLevel="0" collapsed="false">
      <c r="A2" s="201" t="s">
        <v>256</v>
      </c>
      <c r="B2" s="202" t="s">
        <v>99</v>
      </c>
      <c r="C2" s="202" t="s">
        <v>257</v>
      </c>
      <c r="D2" s="203" t="s">
        <v>258</v>
      </c>
      <c r="E2" s="203" t="s">
        <v>259</v>
      </c>
      <c r="F2" s="203" t="s">
        <v>260</v>
      </c>
      <c r="G2" s="204" t="s">
        <v>261</v>
      </c>
      <c r="H2" s="204" t="s">
        <v>262</v>
      </c>
      <c r="I2" s="205" t="s">
        <v>263</v>
      </c>
    </row>
    <row r="3" customFormat="false" ht="15" hidden="false" customHeight="true" outlineLevel="0" collapsed="false">
      <c r="A3" s="206" t="n">
        <v>1</v>
      </c>
      <c r="B3" s="207" t="s">
        <v>264</v>
      </c>
      <c r="C3" s="52" t="s">
        <v>265</v>
      </c>
      <c r="D3" s="208" t="n">
        <v>10</v>
      </c>
      <c r="E3" s="208" t="n">
        <f aca="false">D3*12</f>
        <v>120</v>
      </c>
      <c r="F3" s="197" t="s">
        <v>95</v>
      </c>
      <c r="G3" s="209" t="n">
        <v>30.81</v>
      </c>
      <c r="H3" s="210" t="n">
        <f aca="false">G3*E3</f>
        <v>3697.2</v>
      </c>
      <c r="I3" s="211" t="n">
        <f aca="false">H3/12</f>
        <v>308.1</v>
      </c>
    </row>
    <row r="4" customFormat="false" ht="15" hidden="false" customHeight="true" outlineLevel="0" collapsed="false">
      <c r="A4" s="212" t="n">
        <v>2</v>
      </c>
      <c r="B4" s="207" t="s">
        <v>266</v>
      </c>
      <c r="C4" s="52" t="s">
        <v>267</v>
      </c>
      <c r="D4" s="52" t="n">
        <v>10</v>
      </c>
      <c r="E4" s="52" t="n">
        <f aca="false">D4</f>
        <v>10</v>
      </c>
      <c r="F4" s="197" t="s">
        <v>95</v>
      </c>
      <c r="G4" s="209" t="n">
        <v>62.55</v>
      </c>
      <c r="H4" s="210" t="n">
        <f aca="false">G4*E4</f>
        <v>625.5</v>
      </c>
      <c r="I4" s="211" t="n">
        <f aca="false">H4/12</f>
        <v>52.13</v>
      </c>
    </row>
    <row r="5" customFormat="false" ht="15" hidden="false" customHeight="true" outlineLevel="0" collapsed="false">
      <c r="A5" s="212" t="n">
        <v>3</v>
      </c>
      <c r="B5" s="207" t="s">
        <v>268</v>
      </c>
      <c r="C5" s="52" t="s">
        <v>265</v>
      </c>
      <c r="D5" s="208" t="n">
        <v>10</v>
      </c>
      <c r="E5" s="208" t="n">
        <f aca="false">D5*12</f>
        <v>120</v>
      </c>
      <c r="F5" s="197" t="n">
        <v>1</v>
      </c>
      <c r="G5" s="209" t="n">
        <v>18</v>
      </c>
      <c r="H5" s="210" t="n">
        <f aca="false">(G5*E5)*F5</f>
        <v>2160</v>
      </c>
      <c r="I5" s="211" t="n">
        <f aca="false">H5/12</f>
        <v>180</v>
      </c>
    </row>
    <row r="6" customFormat="false" ht="15" hidden="false" customHeight="true" outlineLevel="0" collapsed="false">
      <c r="A6" s="212" t="n">
        <v>4</v>
      </c>
      <c r="B6" s="213" t="s">
        <v>269</v>
      </c>
      <c r="C6" s="52" t="s">
        <v>267</v>
      </c>
      <c r="D6" s="208" t="n">
        <v>10</v>
      </c>
      <c r="E6" s="208" t="n">
        <f aca="false">D6*12</f>
        <v>120</v>
      </c>
      <c r="F6" s="197" t="n">
        <v>1</v>
      </c>
      <c r="G6" s="209" t="n">
        <v>4.91</v>
      </c>
      <c r="H6" s="210" t="n">
        <f aca="false">(G6*E6)*F6</f>
        <v>589.2</v>
      </c>
      <c r="I6" s="211" t="n">
        <f aca="false">H6/12</f>
        <v>49.1</v>
      </c>
    </row>
    <row r="7" customFormat="false" ht="15" hidden="false" customHeight="true" outlineLevel="0" collapsed="false">
      <c r="A7" s="214" t="n">
        <v>5</v>
      </c>
      <c r="B7" s="213" t="s">
        <v>270</v>
      </c>
      <c r="C7" s="52" t="s">
        <v>265</v>
      </c>
      <c r="D7" s="215" t="n">
        <v>90</v>
      </c>
      <c r="E7" s="208" t="n">
        <f aca="false">D7*12</f>
        <v>1080</v>
      </c>
      <c r="F7" s="216" t="s">
        <v>95</v>
      </c>
      <c r="G7" s="209" t="n">
        <v>0.92</v>
      </c>
      <c r="H7" s="217" t="n">
        <f aca="false">G7*E7</f>
        <v>993.6</v>
      </c>
      <c r="I7" s="218" t="n">
        <f aca="false">H7/12</f>
        <v>82.8</v>
      </c>
    </row>
    <row r="8" customFormat="false" ht="15" hidden="false" customHeight="true" outlineLevel="0" collapsed="false">
      <c r="A8" s="206" t="n">
        <v>6</v>
      </c>
      <c r="B8" s="213" t="s">
        <v>271</v>
      </c>
      <c r="C8" s="52" t="s">
        <v>272</v>
      </c>
      <c r="D8" s="208" t="n">
        <v>6</v>
      </c>
      <c r="E8" s="208" t="n">
        <f aca="false">D8*12</f>
        <v>72</v>
      </c>
      <c r="F8" s="197" t="s">
        <v>95</v>
      </c>
      <c r="G8" s="209" t="n">
        <v>6.23</v>
      </c>
      <c r="H8" s="210" t="n">
        <f aca="false">G8*E8</f>
        <v>448.56</v>
      </c>
      <c r="I8" s="211" t="n">
        <f aca="false">H8/12</f>
        <v>37.38</v>
      </c>
    </row>
    <row r="9" customFormat="false" ht="15" hidden="false" customHeight="true" outlineLevel="0" collapsed="false">
      <c r="A9" s="206" t="n">
        <v>7</v>
      </c>
      <c r="B9" s="213" t="s">
        <v>273</v>
      </c>
      <c r="C9" s="52" t="s">
        <v>265</v>
      </c>
      <c r="D9" s="208" t="n">
        <v>10</v>
      </c>
      <c r="E9" s="208" t="n">
        <f aca="false">D9*12</f>
        <v>120</v>
      </c>
      <c r="F9" s="197" t="s">
        <v>95</v>
      </c>
      <c r="G9" s="209" t="n">
        <v>5.43</v>
      </c>
      <c r="H9" s="210" t="n">
        <f aca="false">G9*E9</f>
        <v>651.6</v>
      </c>
      <c r="I9" s="211" t="n">
        <f aca="false">H9/12</f>
        <v>54.3</v>
      </c>
    </row>
    <row r="10" customFormat="false" ht="15" hidden="false" customHeight="true" outlineLevel="0" collapsed="false">
      <c r="A10" s="206" t="n">
        <v>8</v>
      </c>
      <c r="B10" s="213" t="s">
        <v>274</v>
      </c>
      <c r="C10" s="52" t="s">
        <v>275</v>
      </c>
      <c r="D10" s="208" t="n">
        <v>3</v>
      </c>
      <c r="E10" s="208" t="n">
        <f aca="false">D10*12</f>
        <v>36</v>
      </c>
      <c r="F10" s="197" t="s">
        <v>95</v>
      </c>
      <c r="G10" s="209" t="n">
        <v>10.75</v>
      </c>
      <c r="H10" s="210" t="n">
        <f aca="false">G10*E10</f>
        <v>387</v>
      </c>
      <c r="I10" s="211" t="n">
        <f aca="false">H10/12</f>
        <v>32.25</v>
      </c>
    </row>
    <row r="11" customFormat="false" ht="15" hidden="false" customHeight="true" outlineLevel="0" collapsed="false">
      <c r="A11" s="219" t="n">
        <v>9</v>
      </c>
      <c r="B11" s="220" t="s">
        <v>276</v>
      </c>
      <c r="C11" s="45" t="s">
        <v>277</v>
      </c>
      <c r="D11" s="45" t="n">
        <v>16</v>
      </c>
      <c r="E11" s="45" t="n">
        <f aca="false">D11</f>
        <v>16</v>
      </c>
      <c r="F11" s="221" t="n">
        <v>6</v>
      </c>
      <c r="G11" s="222" t="n">
        <v>95</v>
      </c>
      <c r="H11" s="223" t="n">
        <f aca="false">(G11*E11)*2</f>
        <v>3040</v>
      </c>
      <c r="I11" s="224" t="n">
        <f aca="false">H11/12</f>
        <v>253.33</v>
      </c>
    </row>
    <row r="12" customFormat="false" ht="15" hidden="false" customHeight="true" outlineLevel="0" collapsed="false">
      <c r="A12" s="225"/>
      <c r="B12" s="225"/>
      <c r="C12" s="225"/>
      <c r="D12" s="225"/>
      <c r="E12" s="225"/>
      <c r="F12" s="225"/>
      <c r="G12" s="225"/>
      <c r="H12" s="225"/>
      <c r="I12" s="226" t="n">
        <f aca="false">SUM(I3:I11)/'PLANILHA '!F21</f>
        <v>349.8</v>
      </c>
    </row>
  </sheetData>
  <mergeCells count="2">
    <mergeCell ref="A1:I1"/>
    <mergeCell ref="A12:H12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F15" activeCellId="0" sqref="F1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9.86"/>
    <col collapsed="false" customWidth="true" hidden="false" outlineLevel="0" max="2" min="2" style="1" width="60.71"/>
    <col collapsed="false" customWidth="true" hidden="false" outlineLevel="0" max="8" min="3" style="1" width="12.71"/>
  </cols>
  <sheetData>
    <row r="1" customFormat="false" ht="15" hidden="false" customHeight="true" outlineLevel="0" collapsed="false">
      <c r="A1" s="227" t="s">
        <v>278</v>
      </c>
      <c r="B1" s="227"/>
      <c r="C1" s="227"/>
      <c r="D1" s="227"/>
      <c r="E1" s="227"/>
      <c r="F1" s="227"/>
      <c r="G1" s="227"/>
      <c r="H1" s="227"/>
    </row>
    <row r="2" customFormat="false" ht="15" hidden="false" customHeight="true" outlineLevel="0" collapsed="false">
      <c r="A2" s="228" t="s">
        <v>279</v>
      </c>
      <c r="B2" s="228"/>
      <c r="C2" s="228"/>
      <c r="D2" s="228"/>
      <c r="E2" s="228"/>
      <c r="F2" s="228"/>
      <c r="G2" s="228"/>
      <c r="H2" s="228"/>
    </row>
    <row r="3" customFormat="false" ht="30" hidden="false" customHeight="true" outlineLevel="0" collapsed="false">
      <c r="A3" s="229" t="s">
        <v>280</v>
      </c>
      <c r="B3" s="203" t="s">
        <v>281</v>
      </c>
      <c r="C3" s="203" t="s">
        <v>257</v>
      </c>
      <c r="D3" s="203" t="s">
        <v>258</v>
      </c>
      <c r="E3" s="203" t="s">
        <v>259</v>
      </c>
      <c r="F3" s="203" t="s">
        <v>261</v>
      </c>
      <c r="G3" s="203" t="s">
        <v>262</v>
      </c>
      <c r="H3" s="230" t="s">
        <v>263</v>
      </c>
    </row>
    <row r="4" customFormat="false" ht="15" hidden="false" customHeight="true" outlineLevel="0" collapsed="false">
      <c r="A4" s="231" t="n">
        <v>1</v>
      </c>
      <c r="B4" s="207" t="s">
        <v>282</v>
      </c>
      <c r="C4" s="232" t="s">
        <v>283</v>
      </c>
      <c r="D4" s="233" t="n">
        <v>5</v>
      </c>
      <c r="E4" s="233" t="n">
        <f aca="false">D4*12</f>
        <v>60</v>
      </c>
      <c r="F4" s="234" t="n">
        <f aca="false">6.2*2</f>
        <v>12.4</v>
      </c>
      <c r="G4" s="235" t="n">
        <f aca="false">F4*E4</f>
        <v>744</v>
      </c>
      <c r="H4" s="236" t="n">
        <f aca="false">F4*D4</f>
        <v>62</v>
      </c>
    </row>
    <row r="5" customFormat="false" ht="15" hidden="false" customHeight="true" outlineLevel="0" collapsed="false">
      <c r="A5" s="231" t="n">
        <v>2</v>
      </c>
      <c r="B5" s="207" t="s">
        <v>284</v>
      </c>
      <c r="C5" s="232" t="s">
        <v>283</v>
      </c>
      <c r="D5" s="233" t="n">
        <v>5</v>
      </c>
      <c r="E5" s="233" t="n">
        <f aca="false">D5*12</f>
        <v>60</v>
      </c>
      <c r="F5" s="234" t="n">
        <v>5.7</v>
      </c>
      <c r="G5" s="235" t="n">
        <f aca="false">F5*E5</f>
        <v>342</v>
      </c>
      <c r="H5" s="236" t="n">
        <f aca="false">F5*D5</f>
        <v>28.5</v>
      </c>
    </row>
    <row r="6" customFormat="false" ht="15" hidden="false" customHeight="true" outlineLevel="0" collapsed="false">
      <c r="A6" s="231" t="n">
        <v>3</v>
      </c>
      <c r="B6" s="237" t="s">
        <v>285</v>
      </c>
      <c r="C6" s="52" t="s">
        <v>265</v>
      </c>
      <c r="D6" s="233" t="n">
        <v>60</v>
      </c>
      <c r="E6" s="233" t="n">
        <f aca="false">D6*12</f>
        <v>720</v>
      </c>
      <c r="F6" s="234" t="n">
        <v>2.59</v>
      </c>
      <c r="G6" s="235" t="n">
        <f aca="false">F6*E6</f>
        <v>1864.8</v>
      </c>
      <c r="H6" s="236" t="n">
        <f aca="false">F6*D6</f>
        <v>155.4</v>
      </c>
    </row>
    <row r="7" customFormat="false" ht="15" hidden="false" customHeight="true" outlineLevel="0" collapsed="false">
      <c r="A7" s="231" t="n">
        <v>4</v>
      </c>
      <c r="B7" s="207" t="s">
        <v>286</v>
      </c>
      <c r="C7" s="232" t="s">
        <v>287</v>
      </c>
      <c r="D7" s="233" t="n">
        <v>2</v>
      </c>
      <c r="E7" s="233" t="n">
        <f aca="false">D7*12</f>
        <v>24</v>
      </c>
      <c r="F7" s="234" t="n">
        <v>15</v>
      </c>
      <c r="G7" s="235" t="n">
        <f aca="false">F7*E7</f>
        <v>360</v>
      </c>
      <c r="H7" s="236" t="n">
        <f aca="false">F7*D7</f>
        <v>30</v>
      </c>
    </row>
    <row r="8" customFormat="false" ht="15" hidden="false" customHeight="true" outlineLevel="0" collapsed="false">
      <c r="A8" s="231" t="n">
        <v>5</v>
      </c>
      <c r="B8" s="207" t="s">
        <v>288</v>
      </c>
      <c r="C8" s="232" t="s">
        <v>265</v>
      </c>
      <c r="D8" s="233" t="n">
        <v>10</v>
      </c>
      <c r="E8" s="233" t="n">
        <f aca="false">D8*12</f>
        <v>120</v>
      </c>
      <c r="F8" s="238" t="n">
        <v>0.97</v>
      </c>
      <c r="G8" s="235" t="n">
        <f aca="false">F8*E8</f>
        <v>116.4</v>
      </c>
      <c r="H8" s="236" t="n">
        <f aca="false">F8*D8</f>
        <v>9.7</v>
      </c>
    </row>
    <row r="9" customFormat="false" ht="15" hidden="false" customHeight="true" outlineLevel="0" collapsed="false">
      <c r="A9" s="231" t="n">
        <v>6</v>
      </c>
      <c r="B9" s="207" t="s">
        <v>289</v>
      </c>
      <c r="C9" s="232" t="s">
        <v>283</v>
      </c>
      <c r="D9" s="233" t="n">
        <v>20</v>
      </c>
      <c r="E9" s="233" t="n">
        <f aca="false">D9*12</f>
        <v>240</v>
      </c>
      <c r="F9" s="238" t="n">
        <v>3.53</v>
      </c>
      <c r="G9" s="235" t="n">
        <f aca="false">F9*E9</f>
        <v>847.2</v>
      </c>
      <c r="H9" s="236" t="n">
        <f aca="false">F9*D9</f>
        <v>70.6</v>
      </c>
    </row>
    <row r="10" customFormat="false" ht="15" hidden="false" customHeight="true" outlineLevel="0" collapsed="false">
      <c r="A10" s="231" t="n">
        <v>7</v>
      </c>
      <c r="B10" s="207" t="s">
        <v>290</v>
      </c>
      <c r="C10" s="52" t="s">
        <v>291</v>
      </c>
      <c r="D10" s="233" t="n">
        <v>10</v>
      </c>
      <c r="E10" s="233" t="n">
        <f aca="false">D10*12</f>
        <v>120</v>
      </c>
      <c r="F10" s="238" t="n">
        <v>5.28</v>
      </c>
      <c r="G10" s="235" t="n">
        <f aca="false">F10*E10</f>
        <v>633.6</v>
      </c>
      <c r="H10" s="236" t="n">
        <f aca="false">F10*D10</f>
        <v>52.8</v>
      </c>
    </row>
    <row r="11" customFormat="false" ht="15" hidden="false" customHeight="true" outlineLevel="0" collapsed="false">
      <c r="A11" s="231" t="n">
        <v>8</v>
      </c>
      <c r="B11" s="213" t="s">
        <v>292</v>
      </c>
      <c r="C11" s="232" t="s">
        <v>265</v>
      </c>
      <c r="D11" s="233" t="n">
        <v>500</v>
      </c>
      <c r="E11" s="233" t="n">
        <f aca="false">D11*12</f>
        <v>6000</v>
      </c>
      <c r="F11" s="238" t="n">
        <f aca="false">63.23/100</f>
        <v>0.6323</v>
      </c>
      <c r="G11" s="235" t="n">
        <f aca="false">F11*E11</f>
        <v>3793.8</v>
      </c>
      <c r="H11" s="236" t="n">
        <f aca="false">F11*D11</f>
        <v>316.15</v>
      </c>
    </row>
    <row r="12" customFormat="false" ht="15" hidden="false" customHeight="true" outlineLevel="0" collapsed="false">
      <c r="A12" s="231" t="n">
        <v>9</v>
      </c>
      <c r="B12" s="213" t="s">
        <v>293</v>
      </c>
      <c r="C12" s="232" t="s">
        <v>265</v>
      </c>
      <c r="D12" s="233" t="n">
        <v>700</v>
      </c>
      <c r="E12" s="233" t="n">
        <f aca="false">D12*12</f>
        <v>8400</v>
      </c>
      <c r="F12" s="234" t="n">
        <f aca="false">16.2/100</f>
        <v>0.162</v>
      </c>
      <c r="G12" s="235" t="n">
        <f aca="false">F12*E12</f>
        <v>1360.8</v>
      </c>
      <c r="H12" s="236" t="n">
        <f aca="false">F12*D12</f>
        <v>113.4</v>
      </c>
    </row>
    <row r="13" customFormat="false" ht="15" hidden="false" customHeight="true" outlineLevel="0" collapsed="false">
      <c r="A13" s="231" t="n">
        <v>10</v>
      </c>
      <c r="B13" s="213" t="s">
        <v>294</v>
      </c>
      <c r="C13" s="239" t="s">
        <v>265</v>
      </c>
      <c r="D13" s="233" t="n">
        <v>500</v>
      </c>
      <c r="E13" s="233" t="n">
        <f aca="false">D13*12</f>
        <v>6000</v>
      </c>
      <c r="F13" s="238" t="n">
        <v>0.38</v>
      </c>
      <c r="G13" s="235" t="n">
        <f aca="false">F13*E13</f>
        <v>2280</v>
      </c>
      <c r="H13" s="236" t="n">
        <f aca="false">F13*D13</f>
        <v>190</v>
      </c>
    </row>
    <row r="14" customFormat="false" ht="15" hidden="false" customHeight="true" outlineLevel="0" collapsed="false">
      <c r="A14" s="231" t="n">
        <v>11</v>
      </c>
      <c r="B14" s="213" t="s">
        <v>295</v>
      </c>
      <c r="C14" s="239" t="s">
        <v>265</v>
      </c>
      <c r="D14" s="233" t="n">
        <v>500</v>
      </c>
      <c r="E14" s="233" t="n">
        <f aca="false">D14*12</f>
        <v>6000</v>
      </c>
      <c r="F14" s="238" t="n">
        <f aca="false">104.9/100</f>
        <v>1.049</v>
      </c>
      <c r="G14" s="235" t="n">
        <f aca="false">F14*E14</f>
        <v>6294</v>
      </c>
      <c r="H14" s="236" t="n">
        <f aca="false">F14*D14</f>
        <v>524.5</v>
      </c>
    </row>
    <row r="15" customFormat="false" ht="15" hidden="false" customHeight="true" outlineLevel="0" collapsed="false">
      <c r="A15" s="240" t="n">
        <v>12</v>
      </c>
      <c r="B15" s="220" t="s">
        <v>296</v>
      </c>
      <c r="C15" s="241" t="s">
        <v>265</v>
      </c>
      <c r="D15" s="242" t="n">
        <v>1000</v>
      </c>
      <c r="E15" s="242" t="n">
        <f aca="false">D15*12</f>
        <v>12000</v>
      </c>
      <c r="F15" s="243" t="n">
        <f aca="false">45.09/100</f>
        <v>0.4509</v>
      </c>
      <c r="G15" s="244" t="n">
        <f aca="false">F15*E15</f>
        <v>5410.8</v>
      </c>
      <c r="H15" s="245" t="n">
        <f aca="false">F15*D15</f>
        <v>450.9</v>
      </c>
    </row>
    <row r="16" customFormat="false" ht="15" hidden="false" customHeight="true" outlineLevel="0" collapsed="false">
      <c r="A16" s="246"/>
      <c r="B16" s="246"/>
      <c r="C16" s="246"/>
      <c r="D16" s="246"/>
      <c r="E16" s="246"/>
      <c r="F16" s="246"/>
      <c r="G16" s="247" t="n">
        <f aca="false">SUM(G4:G15)</f>
        <v>24047.4</v>
      </c>
      <c r="H16" s="248" t="n">
        <f aca="false">SUM(H4:H15)</f>
        <v>2003.95</v>
      </c>
    </row>
    <row r="17" customFormat="false" ht="15" hidden="false" customHeight="true" outlineLevel="0" collapsed="false">
      <c r="A17" s="249" t="s">
        <v>297</v>
      </c>
      <c r="B17" s="249"/>
      <c r="C17" s="249"/>
      <c r="D17" s="249"/>
      <c r="E17" s="249"/>
      <c r="F17" s="249"/>
      <c r="G17" s="249"/>
      <c r="H17" s="250" t="n">
        <f aca="false">H16/'PLANILHA '!F19</f>
        <v>1001.975</v>
      </c>
    </row>
    <row r="18" customFormat="false" ht="15" hidden="false" customHeight="true" outlineLevel="0" collapsed="false">
      <c r="A18" s="251" t="s">
        <v>298</v>
      </c>
      <c r="B18" s="251"/>
      <c r="C18" s="251"/>
      <c r="D18" s="251"/>
      <c r="E18" s="251"/>
      <c r="F18" s="251"/>
      <c r="G18" s="251"/>
      <c r="H18" s="251"/>
    </row>
    <row r="19" customFormat="false" ht="23.85" hidden="false" customHeight="true" outlineLevel="0" collapsed="false">
      <c r="A19" s="252" t="s">
        <v>299</v>
      </c>
      <c r="B19" s="252"/>
      <c r="C19" s="252"/>
      <c r="D19" s="252"/>
      <c r="E19" s="252"/>
      <c r="F19" s="252"/>
      <c r="G19" s="252"/>
      <c r="H19" s="252"/>
    </row>
    <row r="20" customFormat="false" ht="30" hidden="false" customHeight="true" outlineLevel="0" collapsed="false">
      <c r="A20" s="252" t="s">
        <v>300</v>
      </c>
      <c r="B20" s="252"/>
      <c r="C20" s="252"/>
      <c r="D20" s="252"/>
      <c r="E20" s="252"/>
      <c r="F20" s="252"/>
      <c r="G20" s="252"/>
      <c r="H20" s="252"/>
    </row>
    <row r="21" customFormat="false" ht="30" hidden="false" customHeight="true" outlineLevel="0" collapsed="false">
      <c r="A21" s="253" t="s">
        <v>301</v>
      </c>
      <c r="B21" s="253"/>
      <c r="C21" s="253"/>
      <c r="D21" s="253"/>
      <c r="E21" s="253"/>
      <c r="F21" s="253"/>
      <c r="G21" s="253"/>
      <c r="H21" s="253"/>
    </row>
    <row r="22" customFormat="false" ht="30" hidden="false" customHeight="true" outlineLevel="0" collapsed="false">
      <c r="A22" s="253" t="s">
        <v>302</v>
      </c>
      <c r="B22" s="253"/>
      <c r="C22" s="253"/>
      <c r="D22" s="253"/>
      <c r="E22" s="253"/>
      <c r="F22" s="253"/>
      <c r="G22" s="253"/>
      <c r="H22" s="253"/>
    </row>
    <row r="23" customFormat="false" ht="30" hidden="false" customHeight="true" outlineLevel="0" collapsed="false">
      <c r="A23" s="254" t="s">
        <v>303</v>
      </c>
      <c r="B23" s="254"/>
      <c r="C23" s="254"/>
      <c r="D23" s="254"/>
      <c r="E23" s="254"/>
      <c r="F23" s="254"/>
      <c r="G23" s="254"/>
      <c r="H23" s="254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A1:H1"/>
    <mergeCell ref="A2:H2"/>
    <mergeCell ref="A16:F16"/>
    <mergeCell ref="A17:G17"/>
    <mergeCell ref="A18:H18"/>
    <mergeCell ref="A19:H19"/>
    <mergeCell ref="A20:H20"/>
    <mergeCell ref="A21:H21"/>
    <mergeCell ref="A22:H22"/>
    <mergeCell ref="A23:H23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7"/>
  <sheetViews>
    <sheetView showFormulas="false" showGridLines="true" showRowColHeaders="true" showZeros="true" rightToLeft="false" tabSelected="false" showOutlineSymbols="true" defaultGridColor="true" view="pageBreakPreview" topLeftCell="A10" colorId="64" zoomScale="100" zoomScaleNormal="100" zoomScalePageLayoutView="100" workbookViewId="0">
      <selection pane="topLeft" activeCell="B29" activeCellId="0" sqref="B29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9.86"/>
    <col collapsed="false" customWidth="true" hidden="false" outlineLevel="0" max="2" min="2" style="1" width="100.71"/>
    <col collapsed="false" customWidth="true" hidden="false" outlineLevel="0" max="8" min="3" style="1" width="12.71"/>
  </cols>
  <sheetData>
    <row r="1" customFormat="false" ht="15" hidden="false" customHeight="true" outlineLevel="0" collapsed="false">
      <c r="A1" s="38" t="s">
        <v>304</v>
      </c>
      <c r="B1" s="38"/>
      <c r="C1" s="38"/>
      <c r="D1" s="38"/>
      <c r="E1" s="38"/>
      <c r="F1" s="38"/>
      <c r="G1" s="38"/>
      <c r="H1" s="38"/>
    </row>
    <row r="2" customFormat="false" ht="30" hidden="false" customHeight="true" outlineLevel="0" collapsed="false">
      <c r="A2" s="255" t="s">
        <v>280</v>
      </c>
      <c r="B2" s="256" t="s">
        <v>281</v>
      </c>
      <c r="C2" s="256" t="s">
        <v>257</v>
      </c>
      <c r="D2" s="256" t="s">
        <v>305</v>
      </c>
      <c r="E2" s="256" t="s">
        <v>260</v>
      </c>
      <c r="F2" s="256" t="s">
        <v>261</v>
      </c>
      <c r="G2" s="256" t="s">
        <v>262</v>
      </c>
      <c r="H2" s="257" t="s">
        <v>263</v>
      </c>
    </row>
    <row r="3" customFormat="false" ht="30" hidden="false" customHeight="true" outlineLevel="0" collapsed="false">
      <c r="A3" s="258" t="n">
        <v>1</v>
      </c>
      <c r="B3" s="259" t="s">
        <v>306</v>
      </c>
      <c r="C3" s="260" t="s">
        <v>265</v>
      </c>
      <c r="D3" s="260" t="n">
        <v>30</v>
      </c>
      <c r="E3" s="260" t="n">
        <v>24</v>
      </c>
      <c r="F3" s="261" t="n">
        <v>400.79</v>
      </c>
      <c r="G3" s="262" t="n">
        <f aca="false">F3*D3</f>
        <v>12023.7</v>
      </c>
      <c r="H3" s="263" t="n">
        <f aca="false">G3/E3</f>
        <v>500.9875</v>
      </c>
    </row>
    <row r="4" customFormat="false" ht="23.85" hidden="false" customHeight="false" outlineLevel="0" collapsed="false">
      <c r="A4" s="258" t="n">
        <v>2</v>
      </c>
      <c r="B4" s="259" t="s">
        <v>307</v>
      </c>
      <c r="C4" s="260" t="s">
        <v>265</v>
      </c>
      <c r="D4" s="260" t="n">
        <v>15</v>
      </c>
      <c r="E4" s="260" t="n">
        <v>24</v>
      </c>
      <c r="F4" s="261" t="n">
        <v>400.79</v>
      </c>
      <c r="G4" s="262" t="n">
        <f aca="false">F4*D4</f>
        <v>6011.85</v>
      </c>
      <c r="H4" s="263" t="n">
        <f aca="false">G4/E4</f>
        <v>250.49375</v>
      </c>
    </row>
    <row r="5" customFormat="false" ht="23.85" hidden="false" customHeight="false" outlineLevel="0" collapsed="false">
      <c r="A5" s="258" t="n">
        <v>3</v>
      </c>
      <c r="B5" s="259" t="s">
        <v>308</v>
      </c>
      <c r="C5" s="260" t="s">
        <v>265</v>
      </c>
      <c r="D5" s="260" t="n">
        <v>10</v>
      </c>
      <c r="E5" s="260" t="n">
        <v>24</v>
      </c>
      <c r="F5" s="261" t="n">
        <v>400.79</v>
      </c>
      <c r="G5" s="262" t="n">
        <f aca="false">F5*D5</f>
        <v>4007.9</v>
      </c>
      <c r="H5" s="263" t="n">
        <f aca="false">G5/E5</f>
        <v>166.995833333333</v>
      </c>
    </row>
    <row r="6" customFormat="false" ht="15" hidden="false" customHeight="false" outlineLevel="0" collapsed="false">
      <c r="A6" s="264" t="n">
        <v>4</v>
      </c>
      <c r="B6" s="207" t="s">
        <v>309</v>
      </c>
      <c r="C6" s="260" t="s">
        <v>265</v>
      </c>
      <c r="D6" s="265" t="n">
        <v>2</v>
      </c>
      <c r="E6" s="52" t="n">
        <v>24</v>
      </c>
      <c r="F6" s="261" t="n">
        <v>499.9</v>
      </c>
      <c r="G6" s="266" t="n">
        <f aca="false">F6*D6</f>
        <v>999.8</v>
      </c>
      <c r="H6" s="267" t="n">
        <f aca="false">G6/E6</f>
        <v>41.6583333333333</v>
      </c>
    </row>
    <row r="7" customFormat="false" ht="23.85" hidden="false" customHeight="false" outlineLevel="0" collapsed="false">
      <c r="A7" s="264" t="n">
        <v>5</v>
      </c>
      <c r="B7" s="213" t="s">
        <v>310</v>
      </c>
      <c r="C7" s="260" t="s">
        <v>265</v>
      </c>
      <c r="D7" s="265" t="n">
        <v>2</v>
      </c>
      <c r="E7" s="52" t="n">
        <v>24</v>
      </c>
      <c r="F7" s="261" t="n">
        <v>494.45</v>
      </c>
      <c r="G7" s="266" t="n">
        <f aca="false">F7*D7</f>
        <v>988.9</v>
      </c>
      <c r="H7" s="267" t="n">
        <f aca="false">G7/E7</f>
        <v>41.2041666666667</v>
      </c>
    </row>
    <row r="8" customFormat="false" ht="30" hidden="false" customHeight="true" outlineLevel="0" collapsed="false">
      <c r="A8" s="264" t="n">
        <v>6</v>
      </c>
      <c r="B8" s="207" t="s">
        <v>311</v>
      </c>
      <c r="C8" s="260" t="s">
        <v>265</v>
      </c>
      <c r="D8" s="52" t="n">
        <v>3</v>
      </c>
      <c r="E8" s="52" t="n">
        <v>24</v>
      </c>
      <c r="F8" s="261" t="n">
        <v>44.39</v>
      </c>
      <c r="G8" s="266" t="n">
        <f aca="false">F8*D8</f>
        <v>133.17</v>
      </c>
      <c r="H8" s="267" t="n">
        <f aca="false">G8/E8</f>
        <v>5.54875</v>
      </c>
    </row>
    <row r="9" customFormat="false" ht="15" hidden="false" customHeight="true" outlineLevel="0" collapsed="false">
      <c r="A9" s="264" t="n">
        <v>7</v>
      </c>
      <c r="B9" s="213" t="s">
        <v>312</v>
      </c>
      <c r="C9" s="260" t="s">
        <v>265</v>
      </c>
      <c r="D9" s="52" t="n">
        <v>20</v>
      </c>
      <c r="E9" s="52" t="n">
        <v>24</v>
      </c>
      <c r="F9" s="261" t="n">
        <v>77</v>
      </c>
      <c r="G9" s="266" t="n">
        <f aca="false">F9*D9</f>
        <v>1540</v>
      </c>
      <c r="H9" s="267" t="n">
        <f aca="false">G9/E9</f>
        <v>64.1666666666667</v>
      </c>
    </row>
    <row r="10" customFormat="false" ht="15" hidden="false" customHeight="true" outlineLevel="0" collapsed="false">
      <c r="A10" s="264" t="n">
        <v>8</v>
      </c>
      <c r="B10" s="213" t="s">
        <v>313</v>
      </c>
      <c r="C10" s="260" t="s">
        <v>265</v>
      </c>
      <c r="D10" s="52" t="n">
        <v>25</v>
      </c>
      <c r="E10" s="52" t="n">
        <v>24</v>
      </c>
      <c r="F10" s="261" t="n">
        <v>160</v>
      </c>
      <c r="G10" s="266" t="n">
        <f aca="false">F10*D10</f>
        <v>4000</v>
      </c>
      <c r="H10" s="267" t="n">
        <f aca="false">G10/E10</f>
        <v>166.666666666667</v>
      </c>
    </row>
    <row r="11" customFormat="false" ht="23.85" hidden="false" customHeight="false" outlineLevel="0" collapsed="false">
      <c r="A11" s="264" t="n">
        <v>9</v>
      </c>
      <c r="B11" s="213" t="s">
        <v>314</v>
      </c>
      <c r="C11" s="260" t="s">
        <v>265</v>
      </c>
      <c r="D11" s="52" t="n">
        <v>3</v>
      </c>
      <c r="E11" s="52" t="n">
        <v>24</v>
      </c>
      <c r="F11" s="261" t="n">
        <v>205.35</v>
      </c>
      <c r="G11" s="266" t="n">
        <f aca="false">F11*D11</f>
        <v>616.05</v>
      </c>
      <c r="H11" s="267" t="n">
        <f aca="false">G11/E11</f>
        <v>25.66875</v>
      </c>
    </row>
    <row r="12" customFormat="false" ht="15" hidden="false" customHeight="true" outlineLevel="0" collapsed="false">
      <c r="A12" s="268" t="n">
        <v>10</v>
      </c>
      <c r="B12" s="269" t="s">
        <v>315</v>
      </c>
      <c r="C12" s="270" t="s">
        <v>265</v>
      </c>
      <c r="D12" s="271" t="n">
        <v>30</v>
      </c>
      <c r="E12" s="271" t="n">
        <v>24</v>
      </c>
      <c r="F12" s="272" t="n">
        <v>25.85</v>
      </c>
      <c r="G12" s="273" t="n">
        <f aca="false">F12*D12</f>
        <v>775.5</v>
      </c>
      <c r="H12" s="274" t="n">
        <f aca="false">G12/E12</f>
        <v>32.3125</v>
      </c>
    </row>
    <row r="13" customFormat="false" ht="15" hidden="false" customHeight="true" outlineLevel="0" collapsed="false">
      <c r="A13" s="38" t="s">
        <v>316</v>
      </c>
      <c r="B13" s="38"/>
      <c r="C13" s="38"/>
      <c r="D13" s="38"/>
      <c r="E13" s="38"/>
      <c r="F13" s="38"/>
      <c r="G13" s="38"/>
      <c r="H13" s="38"/>
    </row>
    <row r="14" customFormat="false" ht="30" hidden="false" customHeight="true" outlineLevel="0" collapsed="false">
      <c r="A14" s="255" t="s">
        <v>280</v>
      </c>
      <c r="B14" s="256" t="s">
        <v>281</v>
      </c>
      <c r="C14" s="256" t="s">
        <v>257</v>
      </c>
      <c r="D14" s="256" t="s">
        <v>305</v>
      </c>
      <c r="E14" s="256" t="s">
        <v>260</v>
      </c>
      <c r="F14" s="256" t="s">
        <v>261</v>
      </c>
      <c r="G14" s="256" t="s">
        <v>262</v>
      </c>
      <c r="H14" s="257" t="s">
        <v>263</v>
      </c>
    </row>
    <row r="15" customFormat="false" ht="15" hidden="false" customHeight="true" outlineLevel="0" collapsed="false">
      <c r="A15" s="275" t="n">
        <v>1</v>
      </c>
      <c r="B15" s="213" t="s">
        <v>317</v>
      </c>
      <c r="C15" s="260" t="s">
        <v>265</v>
      </c>
      <c r="D15" s="276" t="n">
        <v>1</v>
      </c>
      <c r="E15" s="276" t="n">
        <v>36</v>
      </c>
      <c r="F15" s="261" t="n">
        <v>948.54</v>
      </c>
      <c r="G15" s="266" t="n">
        <f aca="false">F15*D15</f>
        <v>948.54</v>
      </c>
      <c r="H15" s="267" t="n">
        <f aca="false">G15/E15</f>
        <v>26.3483333333333</v>
      </c>
    </row>
    <row r="16" customFormat="false" ht="15" hidden="false" customHeight="true" outlineLevel="0" collapsed="false">
      <c r="A16" s="264" t="n">
        <v>2</v>
      </c>
      <c r="B16" s="213" t="s">
        <v>318</v>
      </c>
      <c r="C16" s="260" t="s">
        <v>265</v>
      </c>
      <c r="D16" s="277" t="n">
        <v>1</v>
      </c>
      <c r="E16" s="277" t="n">
        <v>36</v>
      </c>
      <c r="F16" s="261" t="n">
        <v>1468.95</v>
      </c>
      <c r="G16" s="266" t="n">
        <f aca="false">F16*D16</f>
        <v>1468.95</v>
      </c>
      <c r="H16" s="267" t="n">
        <f aca="false">G16/E16</f>
        <v>40.8041666666667</v>
      </c>
    </row>
    <row r="17" customFormat="false" ht="105.75" hidden="false" customHeight="true" outlineLevel="0" collapsed="false">
      <c r="A17" s="268" t="n">
        <v>3</v>
      </c>
      <c r="B17" s="278" t="s">
        <v>319</v>
      </c>
      <c r="C17" s="270" t="s">
        <v>265</v>
      </c>
      <c r="D17" s="279" t="n">
        <v>1</v>
      </c>
      <c r="E17" s="271" t="n">
        <v>36</v>
      </c>
      <c r="F17" s="272" t="n">
        <v>2888</v>
      </c>
      <c r="G17" s="273" t="n">
        <f aca="false">F17*D17</f>
        <v>2888</v>
      </c>
      <c r="H17" s="274" t="n">
        <f aca="false">G17/E17</f>
        <v>80.2222222222222</v>
      </c>
    </row>
    <row r="18" customFormat="false" ht="30" hidden="false" customHeight="true" outlineLevel="0" collapsed="false">
      <c r="A18" s="280" t="s">
        <v>280</v>
      </c>
      <c r="B18" s="281" t="s">
        <v>281</v>
      </c>
      <c r="C18" s="281" t="s">
        <v>257</v>
      </c>
      <c r="D18" s="281" t="s">
        <v>305</v>
      </c>
      <c r="E18" s="281" t="s">
        <v>260</v>
      </c>
      <c r="F18" s="281" t="s">
        <v>261</v>
      </c>
      <c r="G18" s="281" t="s">
        <v>262</v>
      </c>
      <c r="H18" s="282" t="s">
        <v>263</v>
      </c>
    </row>
    <row r="19" customFormat="false" ht="15.75" hidden="false" customHeight="true" outlineLevel="0" collapsed="false">
      <c r="A19" s="283" t="n">
        <v>1</v>
      </c>
      <c r="B19" s="284" t="s">
        <v>320</v>
      </c>
      <c r="C19" s="285" t="s">
        <v>265</v>
      </c>
      <c r="D19" s="286" t="n">
        <f aca="false">1</f>
        <v>1</v>
      </c>
      <c r="E19" s="285" t="n">
        <v>60</v>
      </c>
      <c r="F19" s="287" t="n">
        <f aca="false">289990/3</f>
        <v>96663.3333333333</v>
      </c>
      <c r="G19" s="288" t="n">
        <f aca="false">F19*D19</f>
        <v>96663.3333333333</v>
      </c>
      <c r="H19" s="289" t="n">
        <f aca="false">G19/E19</f>
        <v>1611.05555555556</v>
      </c>
    </row>
    <row r="20" customFormat="false" ht="15" hidden="false" customHeight="false" outlineLevel="0" collapsed="false">
      <c r="A20" s="290"/>
      <c r="B20" s="290"/>
      <c r="C20" s="290"/>
      <c r="D20" s="290"/>
      <c r="E20" s="290"/>
      <c r="F20" s="290"/>
      <c r="G20" s="291" t="n">
        <f aca="false">SUM(G3:G19)</f>
        <v>133065.693333333</v>
      </c>
      <c r="H20" s="292" t="n">
        <f aca="false">SUM(H3:H19)</f>
        <v>3054.13319444444</v>
      </c>
    </row>
    <row r="21" customFormat="false" ht="15" hidden="false" customHeight="true" outlineLevel="0" collapsed="false">
      <c r="A21" s="293" t="s">
        <v>297</v>
      </c>
      <c r="B21" s="293"/>
      <c r="C21" s="293"/>
      <c r="D21" s="293"/>
      <c r="E21" s="293"/>
      <c r="F21" s="293"/>
      <c r="G21" s="293"/>
      <c r="H21" s="294" t="n">
        <f aca="false">H20/'PLANILHA '!F19</f>
        <v>1527.06659722222</v>
      </c>
    </row>
    <row r="22" customFormat="false" ht="15" hidden="false" customHeight="true" outlineLevel="0" collapsed="false">
      <c r="A22" s="251" t="s">
        <v>298</v>
      </c>
      <c r="B22" s="251"/>
      <c r="C22" s="251"/>
      <c r="D22" s="251"/>
      <c r="E22" s="251"/>
      <c r="F22" s="251"/>
      <c r="G22" s="251"/>
      <c r="H22" s="251"/>
    </row>
    <row r="23" customFormat="false" ht="15" hidden="false" customHeight="true" outlineLevel="0" collapsed="false">
      <c r="A23" s="295" t="s">
        <v>321</v>
      </c>
      <c r="B23" s="295"/>
      <c r="C23" s="295"/>
      <c r="D23" s="295"/>
      <c r="E23" s="295"/>
      <c r="F23" s="295"/>
      <c r="G23" s="295"/>
      <c r="H23" s="295"/>
    </row>
    <row r="24" customFormat="false" ht="15" hidden="false" customHeight="false" outlineLevel="0" collapsed="false">
      <c r="A24" s="295"/>
      <c r="B24" s="295"/>
      <c r="C24" s="295"/>
      <c r="D24" s="295"/>
      <c r="E24" s="295"/>
      <c r="F24" s="295"/>
      <c r="G24" s="295"/>
      <c r="H24" s="295"/>
    </row>
    <row r="25" customFormat="false" ht="15" hidden="false" customHeight="false" outlineLevel="0" collapsed="false">
      <c r="A25" s="295"/>
      <c r="B25" s="295"/>
      <c r="C25" s="295"/>
      <c r="D25" s="295"/>
      <c r="E25" s="295"/>
      <c r="F25" s="295"/>
      <c r="G25" s="295"/>
      <c r="H25" s="295"/>
    </row>
    <row r="26" customFormat="false" ht="15" hidden="false" customHeight="false" outlineLevel="0" collapsed="false">
      <c r="A26" s="295"/>
      <c r="B26" s="295"/>
      <c r="C26" s="295"/>
      <c r="D26" s="295"/>
      <c r="E26" s="295"/>
      <c r="F26" s="295"/>
      <c r="G26" s="295"/>
      <c r="H26" s="295"/>
    </row>
    <row r="27" customFormat="false" ht="15.75" hidden="false" customHeight="false" outlineLevel="0" collapsed="false">
      <c r="A27" s="295"/>
      <c r="B27" s="295"/>
      <c r="C27" s="295"/>
      <c r="D27" s="295"/>
      <c r="E27" s="295"/>
      <c r="F27" s="295"/>
      <c r="G27" s="295"/>
      <c r="H27" s="295"/>
    </row>
  </sheetData>
  <mergeCells count="6">
    <mergeCell ref="A1:H1"/>
    <mergeCell ref="A13:H13"/>
    <mergeCell ref="A20:F20"/>
    <mergeCell ref="A21:G21"/>
    <mergeCell ref="A22:H22"/>
    <mergeCell ref="A23:H27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2014-04-11T01:53:38Z</dcterms:created>
  <dc:creator>USUARIO</dc:creator>
  <dc:description/>
  <dc:language>pt-BR</dc:language>
  <cp:lastModifiedBy/>
  <cp:lastPrinted>2025-05-05T14:20:47Z</cp:lastPrinted>
  <dcterms:modified xsi:type="dcterms:W3CDTF">2026-03-04T13:32:11Z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