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4"/>
  </bookViews>
  <sheets>
    <sheet name="Plan2" sheetId="1" state="hidden" r:id="rId3"/>
    <sheet name="Plan3" sheetId="2" state="hidden" r:id="rId4"/>
    <sheet name="PLANILHA " sheetId="3" state="visible" r:id="rId5"/>
    <sheet name="Vigilante - Diurno" sheetId="4" state="visible" r:id="rId6"/>
    <sheet name="Vigilante - Noturno" sheetId="5" state="visible" r:id="rId7"/>
    <sheet name="Uniformes" sheetId="6" state="visible" r:id="rId8"/>
    <sheet name="Insumos" sheetId="7" state="visible" r:id="rId9"/>
  </sheets>
  <definedNames>
    <definedName function="false" hidden="false" localSheetId="6" name="_xlnm.Print_Area" vbProcedure="false">Insumos!$A$1:$H$21</definedName>
    <definedName function="false" hidden="false" localSheetId="2" name="_xlnm.Print_Area" vbProcedure="false">'PLANILHA '!$A$1:$H$7</definedName>
    <definedName function="false" hidden="false" localSheetId="5" name="_xlnm.Print_Area" vbProcedure="false">Uniformes!$A$1:$H$17</definedName>
    <definedName function="false" hidden="false" localSheetId="3" name="_xlnm.Print_Area" vbProcedure="false">'Vigilante - Diurno'!$A$1:$E$113</definedName>
    <definedName function="false" hidden="false" localSheetId="3" name="_xlnm.Print_Titles" vbProcedure="false">'Vigilante - Diurno'!$1:$1</definedName>
    <definedName function="false" hidden="false" localSheetId="4" name="_xlnm.Print_Area" vbProcedure="false">'Vigilante - Noturno'!$A$1:$E$113</definedName>
    <definedName function="false" hidden="false" localSheetId="4" name="_xlnm.Print_Titles" vbProcedure="false">'Vigilante - Noturno'!$1:$1</definedName>
    <definedName function="false" hidden="false" localSheetId="2" name="_xlnm.Print_Titles" vbProcedure="false">'planilha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<sst xmlns="http://schemas.openxmlformats.org/spreadsheetml/2006/main" count="588" uniqueCount="268">
  <si>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</si>
  <si>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</si>
  <si>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</si>
  <si>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</si>
  <si>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</si>
  <si>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</si>
  <si>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</si>
  <si>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</si>
  <si>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</si>
  <si>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</si>
  <si>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</si>
  <si>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</si>
  <si>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</si>
  <si>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</si>
  <si>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</si>
  <si>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</si>
  <si>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</si>
  <si>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</si>
  <si>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</si>
  <si>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</si>
  <si>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</si>
  <si>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</si>
  <si>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</si>
  <si>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</si>
  <si>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</si>
  <si>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</si>
  <si>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</si>
  <si>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</si>
  <si>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</si>
  <si>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</si>
  <si>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</si>
  <si>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</si>
  <si>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</si>
  <si>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</si>
  <si>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</si>
  <si>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</si>
  <si>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</si>
  <si>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</si>
  <si>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</si>
  <si>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</si>
  <si>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</si>
  <si>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</si>
  <si>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</si>
  <si>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</si>
  <si>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</si>
  <si>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</si>
  <si>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</si>
  <si>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</si>
  <si>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</si>
  <si>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</si>
  <si>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</si>
  <si>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</si>
  <si>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</si>
  <si>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</si>
  <si>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</si>
  <si>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</si>
  <si>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</si>
  <si>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</si>
  <si>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</si>
  <si>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</si>
  <si>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</si>
  <si>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</si>
  <si>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</si>
  <si>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</si>
  <si>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</si>
  <si>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</si>
  <si>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</si>
  <si>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</si>
  <si>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</si>
  <si>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</si>
  <si>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</si>
  <si>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</si>
  <si>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</si>
  <si>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</si>
  <si>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</si>
  <si>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</si>
  <si>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</si>
  <si>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PLANILHA DE CUSTO </t>
  </si>
  <si>
    <t xml:space="preserve">LOTE II – HOSPITAL REGIONAL DE EXTREMA - HRE</t>
  </si>
  <si>
    <t xml:space="preserve">ITEM</t>
  </si>
  <si>
    <t xml:space="preserve">ESPECIFICAÇÃO</t>
  </si>
  <si>
    <t xml:space="preserve">UNIDADE </t>
  </si>
  <si>
    <t xml:space="preserve">QUANTIDADE </t>
  </si>
  <si>
    <t xml:space="preserve">MESES</t>
  </si>
  <si>
    <t xml:space="preserve">VALOR UNITÁRIO MENSAL DO POSTO</t>
  </si>
  <si>
    <t xml:space="preserve">VALOR TOTAL MENSAL DO POSTO</t>
  </si>
  <si>
    <t xml:space="preserve">VALOR TOTAL ANUAL DO POSTO</t>
  </si>
  <si>
    <t xml:space="preserve">Serviços de Vigilância/ Segurança Patrimonial Armada</t>
  </si>
  <si>
    <t xml:space="preserve">Posto Diurno em escala 12x36</t>
  </si>
  <si>
    <t xml:space="preserve">Posto Noturno em escala 12x36</t>
  </si>
  <si>
    <t xml:space="preserve"> </t>
  </si>
  <si>
    <t xml:space="preserve">A</t>
  </si>
  <si>
    <t xml:space="preserve">Data de apresentação da proposta (mês/ano)</t>
  </si>
  <si>
    <t xml:space="preserve">B</t>
  </si>
  <si>
    <t xml:space="preserve">SERVIÇO DE VIGILÂNCIA</t>
  </si>
  <si>
    <t xml:space="preserve">C</t>
  </si>
  <si>
    <t xml:space="preserve">Ano Acordo, Convenção ou Sentença Normativa em Dissídio Coletivo</t>
  </si>
  <si>
    <t xml:space="preserve">RO000076/2025 </t>
  </si>
  <si>
    <r>
      <rPr>
        <sz val="11"/>
        <rFont val="Calibri"/>
        <family val="2"/>
        <charset val="1"/>
      </rPr>
      <t xml:space="preserve">N</t>
    </r>
    <r>
      <rPr>
        <strike val="true"/>
        <sz val="11"/>
        <rFont val="Calibri"/>
        <family val="2"/>
        <charset val="1"/>
      </rPr>
      <t xml:space="preserve">º</t>
    </r>
    <r>
      <rPr>
        <sz val="11"/>
        <rFont val="Calibri"/>
        <family val="2"/>
        <charset val="1"/>
      </rPr>
      <t xml:space="preserve"> de meses de execução contratual</t>
    </r>
  </si>
  <si>
    <t xml:space="preserve">Identificação do Serviço</t>
  </si>
  <si>
    <t xml:space="preserve">Anexo III-A – Mão-de-obra</t>
  </si>
  <si>
    <t xml:space="preserve">Mão-de-obra vinculada à execução contratual</t>
  </si>
  <si>
    <t xml:space="preserve">Dados complementares para composição dos custos referente à mão-de-obra</t>
  </si>
  <si>
    <t xml:space="preserve">Valor (R$)</t>
  </si>
  <si>
    <t xml:space="preserve">Tipo de serviço (mesmo serviço com características distintas)</t>
  </si>
  <si>
    <t xml:space="preserve">Salário Normativo da Categoria Profissional</t>
  </si>
  <si>
    <t xml:space="preserve">Categoria profissional (vinculada à execução contratual)</t>
  </si>
  <si>
    <t xml:space="preserve">Vigilante - Diurno</t>
  </si>
  <si>
    <t xml:space="preserve">Data base da categoria (dia/mês/ano)</t>
  </si>
  <si>
    <t xml:space="preserve">MÓDULO 1 : COMPOSIÇÃO DA REMUNERAÇÃO</t>
  </si>
  <si>
    <t xml:space="preserve">Composição da Remuneração</t>
  </si>
  <si>
    <t xml:space="preserve">Salário</t>
  </si>
  <si>
    <t xml:space="preserve">Adicional de Insalubridade</t>
  </si>
  <si>
    <t xml:space="preserve">Adicional Noturno</t>
  </si>
  <si>
    <t xml:space="preserve">SUBTOTAL </t>
  </si>
  <si>
    <t xml:space="preserve">D</t>
  </si>
  <si>
    <t xml:space="preserve">Adicional de Periculosidade</t>
  </si>
  <si>
    <t xml:space="preserve">TOTAL DO MÓDULO 1</t>
  </si>
  <si>
    <t xml:space="preserve"> MÓDULO 2: BENEFÍCIOS MENSAIS E DIÁRIOS</t>
  </si>
  <si>
    <t xml:space="preserve">2.1</t>
  </si>
  <si>
    <t xml:space="preserve">DÉCIMO TERCEIRO SALÁRIO, FÉRIAS E ADICIONAL DE FÉRIAS</t>
  </si>
  <si>
    <t xml:space="preserve">BASE DE CÁLCULO</t>
  </si>
  <si>
    <t xml:space="preserve">13 º Salário</t>
  </si>
  <si>
    <t xml:space="preserve">Férias e Adicional de Férias </t>
  </si>
  <si>
    <t xml:space="preserve">TOTAL</t>
  </si>
  <si>
    <t xml:space="preserve">Base de cálculo: De acordo com a instrução normativa nº 05/2017 anexo VII nota 3, a base de cálculo neste módulo deverá ser a soma: MÓDULO 1 + SUBMÓDULO 2.1. </t>
  </si>
  <si>
    <t xml:space="preserve">2.2</t>
  </si>
  <si>
    <t xml:space="preserve">Encargos previdenciários e FGTS</t>
  </si>
  <si>
    <r>
      <rPr>
        <b val="true"/>
        <sz val="11"/>
        <rFont val="Calibri"/>
        <family val="2"/>
        <charset val="1"/>
      </rPr>
      <t xml:space="preserve">INSS</t>
    </r>
    <r>
      <rPr>
        <sz val="11"/>
        <rFont val="Calibri"/>
        <family val="2"/>
        <charset val="1"/>
      </rPr>
      <t xml:space="preserve"> (20%)</t>
    </r>
  </si>
  <si>
    <r>
      <rPr>
        <b val="true"/>
        <sz val="11"/>
        <rFont val="Calibri"/>
        <family val="2"/>
        <charset val="1"/>
      </rPr>
      <t xml:space="preserve">SALÁRIO EDUCAÇÃO</t>
    </r>
    <r>
      <rPr>
        <sz val="11"/>
        <rFont val="Calibri"/>
        <family val="2"/>
        <charset val="1"/>
      </rPr>
      <t xml:space="preserve"> (2,5%)</t>
    </r>
  </si>
  <si>
    <r>
      <rPr>
        <b val="true"/>
        <sz val="11"/>
        <rFont val="Calibri"/>
        <family val="2"/>
        <charset val="1"/>
      </rPr>
      <t xml:space="preserve">RAT X SAT (Conforme GFIP)</t>
    </r>
    <r>
      <rPr>
        <sz val="11"/>
        <rFont val="Calibri"/>
        <family val="2"/>
        <charset val="1"/>
      </rPr>
      <t xml:space="preserve"> (Riscos Ambientais do Trabalho) (Sat/Inss(médio)) (Riscos: Leve 1,0%, Médio 2,0%, Grave 3,0% - veja Decreto 3048/99 - Anexo V (CNAE de 1% a 3% FAP de 0,5 a 2,0)</t>
    </r>
  </si>
  <si>
    <r>
      <rPr>
        <b val="true"/>
        <sz val="11"/>
        <rFont val="Calibri"/>
        <family val="2"/>
        <charset val="1"/>
      </rPr>
      <t xml:space="preserve">SESI OU SESC</t>
    </r>
    <r>
      <rPr>
        <sz val="11"/>
        <rFont val="Calibri"/>
        <family val="2"/>
        <charset val="1"/>
      </rPr>
      <t xml:space="preserve"> (1,5%)</t>
    </r>
  </si>
  <si>
    <t xml:space="preserve">E</t>
  </si>
  <si>
    <r>
      <rPr>
        <b val="true"/>
        <sz val="11"/>
        <rFont val="Calibri"/>
        <family val="2"/>
        <charset val="1"/>
      </rPr>
      <t xml:space="preserve">SENAI OU SENAC</t>
    </r>
    <r>
      <rPr>
        <sz val="11"/>
        <rFont val="Calibri"/>
        <family val="2"/>
        <charset val="1"/>
      </rPr>
      <t xml:space="preserve"> (1,0%)</t>
    </r>
  </si>
  <si>
    <t xml:space="preserve">F</t>
  </si>
  <si>
    <t xml:space="preserve">SEBRAE</t>
  </si>
  <si>
    <t xml:space="preserve">G</t>
  </si>
  <si>
    <r>
      <rPr>
        <b val="true"/>
        <sz val="11"/>
        <rFont val="Calibri"/>
        <family val="2"/>
        <charset val="1"/>
      </rPr>
      <t xml:space="preserve">INCRA </t>
    </r>
    <r>
      <rPr>
        <sz val="11"/>
        <rFont val="Calibri"/>
        <family val="2"/>
        <charset val="1"/>
      </rPr>
      <t xml:space="preserve">(0,20% ou  2,7%) - IN nº971, MPS/SRP/2009, Anexo I e II ver código da Tabela</t>
    </r>
  </si>
  <si>
    <t xml:space="preserve">H</t>
  </si>
  <si>
    <t xml:space="preserve">FGTS (8,0%) </t>
  </si>
  <si>
    <t xml:space="preserve">Submódulo 2.3 – Beneficios Mensais</t>
  </si>
  <si>
    <t xml:space="preserve">2.3</t>
  </si>
  <si>
    <t xml:space="preserve">BENEFÍCIOS MENSAIS E DIÁRIOS </t>
  </si>
  <si>
    <t xml:space="preserve">Transporte</t>
  </si>
  <si>
    <t xml:space="preserve">Auxílio alimentação </t>
  </si>
  <si>
    <t xml:space="preserve">Cesta Básica - Cláusula 16ª CCT</t>
  </si>
  <si>
    <t xml:space="preserve">Assistência médica/odontológica - Cláusula 8ª Termo Aditivo a CCT
</t>
  </si>
  <si>
    <t xml:space="preserve">Seguro de Vida</t>
  </si>
  <si>
    <t xml:space="preserve">TOTAL DE BENEFÍCIOS MENSAIS E DIÁRIOS</t>
  </si>
  <si>
    <t xml:space="preserve">Quadro resumo dos beneficios</t>
  </si>
  <si>
    <t xml:space="preserve">13º Salário, Férias e Adicional de Férias</t>
  </si>
  <si>
    <t xml:space="preserve">GPS, FGTS e outras contribuições</t>
  </si>
  <si>
    <t xml:space="preserve">Beneficios diários e mensais</t>
  </si>
  <si>
    <t xml:space="preserve">TOTAL DO MÓDULO 2</t>
  </si>
  <si>
    <t xml:space="preserve">MÓDULO 3 - PROVISÃO PARA RESCISÃO</t>
  </si>
  <si>
    <t xml:space="preserve">3.0</t>
  </si>
  <si>
    <t xml:space="preserve">Provisão para Rescisão</t>
  </si>
  <si>
    <t xml:space="preserve">Aviso prévio indenizado</t>
  </si>
  <si>
    <t xml:space="preserve">Incidência do FGTS sobre aviso prévio indenizado (8%)</t>
  </si>
  <si>
    <t xml:space="preserve">Aviso prévio trabalhado</t>
  </si>
  <si>
    <t xml:space="preserve">Incidência do submódulo 2.2 sobre aviso prévio trabalhado (39,80% sobre o valor do Aviso Prévio Trabalhado)</t>
  </si>
  <si>
    <t xml:space="preserve">Multa sobre FGTS e Contribuição Social sobre o Aviso Prévio Indenizado e sobre o Aviso Prévio Trabalhado. (Alterado Conf. Lei nº 13.932/2019)</t>
  </si>
  <si>
    <t xml:space="preserve">TOTAL DO MÓDULO 3</t>
  </si>
  <si>
    <t xml:space="preserve">MÓDULO 4 – CUSTO DE REPOSIÇÃO DO PROFISSIONAL AUSENTE</t>
  </si>
  <si>
    <t xml:space="preserve">4.1</t>
  </si>
  <si>
    <t xml:space="preserve">Submódulo 4.1 - Ausências Legais</t>
  </si>
  <si>
    <t xml:space="preserve">Substituto na Cobertura de Férias (1/12 avos)</t>
  </si>
  <si>
    <t xml:space="preserve">Substituto na Cobertura de Ausências Legais (por doença)</t>
  </si>
  <si>
    <t xml:space="preserve">Substituto na Cobertura de Licença Maternidade</t>
  </si>
  <si>
    <t xml:space="preserve">Substituto na Cobertura de Licença Paternidade</t>
  </si>
  <si>
    <t xml:space="preserve">Substituto na Cobertura de Ausências Legais (faltas legais)</t>
  </si>
  <si>
    <t xml:space="preserve">Substituto na Cobertura Por Acidente de Trabalho</t>
  </si>
  <si>
    <t xml:space="preserve">Outros  (Especificar)</t>
  </si>
  <si>
    <t xml:space="preserve">TOTAL DO SUBMÓDULO 4.1</t>
  </si>
  <si>
    <t xml:space="preserve">Submódulo 4.2 - Intrajornada</t>
  </si>
  <si>
    <t xml:space="preserve">Intervalo para Repouso ou Alimentação</t>
  </si>
  <si>
    <t xml:space="preserve">Incidência dos Encargos Previdênciários sobre Indenização por Intrajornada</t>
  </si>
  <si>
    <t xml:space="preserve">TOTAL DO SUBMÓDULO 4.2</t>
  </si>
  <si>
    <t xml:space="preserve"> QUADRO-RESUMO DO MÓDULO 4 - CUSTO DE REPOSIÇÃO DO PROFISSIONAL AUSENTE</t>
  </si>
  <si>
    <t xml:space="preserve">Módulo 4 – Encargos sociais e trabalhistas</t>
  </si>
  <si>
    <t xml:space="preserve">4.2</t>
  </si>
  <si>
    <t xml:space="preserve">TOTAL DO MÓDULO 4</t>
  </si>
  <si>
    <t xml:space="preserve">MÓDULO 5 - INSUMOS DIVERSOS</t>
  </si>
  <si>
    <t xml:space="preserve">Insumos Diversos</t>
  </si>
  <si>
    <t xml:space="preserve">Uniformes e EPI's</t>
  </si>
  <si>
    <t xml:space="preserve">Materiais</t>
  </si>
  <si>
    <t xml:space="preserve">Equipamentos</t>
  </si>
  <si>
    <t xml:space="preserve">Saúde e Segurança do Trabalhador (SESMT) - Cláusula 35ª CCT</t>
  </si>
  <si>
    <t xml:space="preserve">TOTAL DO MÓDULO 5</t>
  </si>
  <si>
    <t xml:space="preserve">(M-T)      CUSTO TOTAL DA PLANILHA PARA EFEITO DE CÁLCULO DO MÓDULO 5 (M1+M2+M3+M4+M5)</t>
  </si>
  <si>
    <t xml:space="preserve">MÓDULO 6 – CUSTOS INDIRETOS, TRIBUTOS E LUCRO </t>
  </si>
  <si>
    <t xml:space="preserve">Custos Indiretos, Tributos e Lucro</t>
  </si>
  <si>
    <t xml:space="preserve">Custos Indiretos</t>
  </si>
  <si>
    <t xml:space="preserve">Lucro (MT + M5.A)</t>
  </si>
  <si>
    <t xml:space="preserve">Subtotal  para   efeito  de  cálculo  dos Tributos  (MT + MA + MB) FATURAMENTO [(100-8,65)/100]</t>
  </si>
  <si>
    <t xml:space="preserve">Tributos</t>
  </si>
  <si>
    <t xml:space="preserve">C.1</t>
  </si>
  <si>
    <t xml:space="preserve">Tributos federais </t>
  </si>
  <si>
    <t xml:space="preserve">C.1.1</t>
  </si>
  <si>
    <t xml:space="preserve">PIS </t>
  </si>
  <si>
    <t xml:space="preserve">C.1.2</t>
  </si>
  <si>
    <t xml:space="preserve">COFINS</t>
  </si>
  <si>
    <t xml:space="preserve">C.2</t>
  </si>
  <si>
    <t xml:space="preserve">Tributos municipais (ISS/ISSQN)</t>
  </si>
  <si>
    <t xml:space="preserve">TOTAL DOS TRIBUTOS</t>
  </si>
  <si>
    <t xml:space="preserve">TOTAL DOS CUSTOS INDIRETOS, TRIBUTOS E LUCRO</t>
  </si>
  <si>
    <t xml:space="preserve">Mão-de-obra vinculada à execução contratual (valor por empregado)</t>
  </si>
  <si>
    <t xml:space="preserve">Módulo 1 –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</si>
  <si>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</si>
  <si>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</si>
  <si>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</si>
  <si>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</si>
  <si>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(A + B +C+ D+E)</t>
  </si>
  <si>
    <t xml:space="preserve">Módulo 6 – Custos indiretos, tributos e lucro</t>
  </si>
  <si>
    <t xml:space="preserve">VALOR TOTAL POR EMPREGADO</t>
  </si>
  <si>
    <t xml:space="preserve">VALOR TOTAL POR POSTO DIURNO</t>
  </si>
  <si>
    <t xml:space="preserve">Vigilante - Noturno</t>
  </si>
  <si>
    <t xml:space="preserve">Férias e Adicional de Férias</t>
  </si>
  <si>
    <t xml:space="preserve">VALOR TOTAL POR POSTO NOTURNO</t>
  </si>
  <si>
    <t xml:space="preserve">UNIFORMES</t>
  </si>
  <si>
    <t xml:space="preserve">VIGILANTE ARMADO</t>
  </si>
  <si>
    <t xml:space="preserve">Ordem</t>
  </si>
  <si>
    <t xml:space="preserve">Discriminação</t>
  </si>
  <si>
    <t xml:space="preserve">Quantidade</t>
  </si>
  <si>
    <t xml:space="preserve">Quantidade (Anual)</t>
  </si>
  <si>
    <t xml:space="preserve">Periodicidade</t>
  </si>
  <si>
    <t xml:space="preserve">Valor Unitário</t>
  </si>
  <si>
    <t xml:space="preserve">Valor Total (Anual)</t>
  </si>
  <si>
    <t xml:space="preserve">Valor Total (Mensal)</t>
  </si>
  <si>
    <t xml:space="preserve">Calça</t>
  </si>
  <si>
    <t xml:space="preserve">3 por funcionário</t>
  </si>
  <si>
    <t xml:space="preserve">1 ano</t>
  </si>
  <si>
    <t xml:space="preserve">Camisa de mangas compridas e curtas</t>
  </si>
  <si>
    <t xml:space="preserve">Capa de chuva</t>
  </si>
  <si>
    <t xml:space="preserve">1 por posto</t>
  </si>
  <si>
    <t xml:space="preserve">2 anos (período do contrato)</t>
  </si>
  <si>
    <t xml:space="preserve">Capa para colete balístico</t>
  </si>
  <si>
    <t xml:space="preserve">1 por funcionário</t>
  </si>
  <si>
    <t xml:space="preserve">Cinto de Nylon</t>
  </si>
  <si>
    <t xml:space="preserve">Crachá</t>
  </si>
  <si>
    <t xml:space="preserve">Distintivo tipo Broche</t>
  </si>
  <si>
    <t xml:space="preserve">Jaqueta de frio</t>
  </si>
  <si>
    <t xml:space="preserve">Meias</t>
  </si>
  <si>
    <t xml:space="preserve"> 6 meses</t>
  </si>
  <si>
    <t xml:space="preserve">Quepe com emblema</t>
  </si>
  <si>
    <t xml:space="preserve">Sapatos</t>
  </si>
  <si>
    <t xml:space="preserve">TOTAL MENSAL POR FUNCIONÁRIO</t>
  </si>
  <si>
    <t xml:space="preserve">O item quantificado por posto será considerado com base no posto de 24 horas (diurno e noturno).</t>
  </si>
  <si>
    <t xml:space="preserve">MATERIAIS/EQUIPAMENTOS</t>
  </si>
  <si>
    <t xml:space="preserve">Coldre</t>
  </si>
  <si>
    <t xml:space="preserve">Cinturão para revólver</t>
  </si>
  <si>
    <t xml:space="preserve">Fiel Retrátil para Cinto</t>
  </si>
  <si>
    <t xml:space="preserve">Munição calibre 38</t>
  </si>
  <si>
    <t xml:space="preserve">Capacidade total da arma </t>
  </si>
  <si>
    <t xml:space="preserve">Reposição em ocorrências ou avarias da munição ou 2 anos (período do contrato)</t>
  </si>
  <si>
    <t xml:space="preserve">Revólver calibre 38</t>
  </si>
  <si>
    <t xml:space="preserve">Apito</t>
  </si>
  <si>
    <t xml:space="preserve">Arma não letal à base de óleos vegetais, de graduação alimentícia</t>
  </si>
  <si>
    <t xml:space="preserve">Em conformidade com a validade, uso ou vigência de 2 anos (período do contrato)</t>
  </si>
  <si>
    <t xml:space="preserve">Cassetete</t>
  </si>
  <si>
    <t xml:space="preserve">Colete à prova de balas</t>
  </si>
  <si>
    <t xml:space="preserve">Cordão de apito</t>
  </si>
  <si>
    <t xml:space="preserve">Lanterna recarregável</t>
  </si>
  <si>
    <t xml:space="preserve">Livro de ocorrências</t>
  </si>
  <si>
    <t xml:space="preserve">1 livro 100 pag.</t>
  </si>
  <si>
    <t xml:space="preserve">A cada 4 meses</t>
  </si>
  <si>
    <t xml:space="preserve">Porta-cassetete</t>
  </si>
  <si>
    <t xml:space="preserve">Rádio transmissor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</si>
</sst>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00"/>
    <numFmt numFmtId="168" formatCode="&quot;R$ &quot;#,##0.00"/>
    <numFmt numFmtId="169" formatCode="0%"/>
    <numFmt numFmtId="170" formatCode="0.000%"/>
    <numFmt numFmtId="171" formatCode="#,##0.00"/>
    <numFmt numFmtId="172" formatCode="d/m/yyyy"/>
    <numFmt numFmtId="173" formatCode="0.00%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3366FF"/>
      <name val="Trebuchet MS"/>
      <family val="2"/>
      <charset val="1"/>
    </font>
    <font>
      <b val="true"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i val="true"/>
      <sz val="11"/>
      <name val="Calibri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trike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sz val="11"/>
      <name val="Calibri"/>
      <family val="2"/>
    </font>
    <font>
      <u val="singl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7"/>
        <bgColor rgb="FFC5E0B4"/>
      </patternFill>
    </fill>
    <fill>
      <patternFill patternType="solid">
        <fgColor theme="9" tint="0.5997"/>
        <bgColor rgb="FFA9D18E"/>
      </patternFill>
    </fill>
    <fill>
      <patternFill patternType="solid">
        <fgColor theme="5" tint="0.3997"/>
        <bgColor rgb="FFFF99CC"/>
      </patternFill>
    </fill>
    <fill>
      <patternFill patternType="solid">
        <fgColor theme="0" tint="-0.25"/>
        <bgColor rgb="FFAFABAB"/>
      </patternFill>
    </fill>
    <fill>
      <patternFill patternType="solid">
        <fgColor theme="2" tint="-0.25"/>
        <bgColor rgb="FFBFBFBF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5" fillId="0" borderId="1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0" borderId="15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0" borderId="16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0" borderId="1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0" borderId="18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0" borderId="19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70" fontId="28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4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2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5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0" borderId="16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2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4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3" fillId="2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5" xfId="25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2" borderId="16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0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5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2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8" borderId="2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1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5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3" fillId="2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2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2" borderId="2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2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3" fillId="7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5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5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3" fillId="0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15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23" fillId="5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7" borderId="2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5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0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0" borderId="15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8" fontId="3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2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2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24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6" borderId="2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6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6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6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2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23" fillId="5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2" borderId="2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3" fillId="6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5" xfId="2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23" fillId="0" borderId="1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3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0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6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0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3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2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3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2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3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6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2" borderId="15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3" fillId="2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2" borderId="2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2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15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16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2" borderId="1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5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7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38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39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2" borderId="15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2" borderId="1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5" borderId="6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5" borderId="4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6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4" borderId="4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" xfId="27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1"/>
    <cellStyle name="Normal 2" xfId="22"/>
    <cellStyle name="Normal 3" xfId="23"/>
    <cellStyle name="Normal 4" xfId="24"/>
    <cellStyle name="Normal 5" xfId="25"/>
    <cellStyle name="Normal 6" xfId="26"/>
    <cellStyle name="Normal 6 2" xfId="27"/>
    <cellStyle name="Normal 7" xfId="28"/>
    <cellStyle name="Vírgula 2" xfId="29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0</xdr:col>
      <xdr:colOff>720</xdr:colOff>
      <xdr:row>50</xdr:row>
      <xdr:rowOff>162000</xdr:rowOff>
    </xdr:to>
    <xdr:sp>
      <xdr:nvSpPr>
        <xdr:cNvPr id="0" name="Shape 2"/>
        <xdr:cNvSpPr/>
      </xdr:nvSpPr>
      <xdr:spPr>
        <a:xfrm>
          <a:off x="0" y="380880"/>
          <a:ext cx="720" cy="10258560"/>
        </a:xfrm>
        <a:custGeom>
          <a:avLst/>
          <a:gdLst>
            <a:gd name="textAreaLeft" fmla="*/ 0 w 720"/>
            <a:gd name="textAreaRight" fmla="*/ 7200 w 720"/>
            <a:gd name="textAreaTop" fmla="*/ 0 h 10258560"/>
            <a:gd name="textAreaBottom" fmla="*/ 10265040 h 10258560"/>
          </a:gdLst>
          <a:ahLst/>
          <a:cxnLst/>
          <a:rect l="textAreaLeft" t="textAreaTop" r="textAreaRight" b="textAreaBottom"/>
          <a:pathLst>
            <a:path w="7620" h="9970135">
              <a:moveTo>
                <a:pt x="7622" y="0"/>
              </a:moveTo>
              <a:lnTo>
                <a:pt x="0" y="0"/>
              </a:lnTo>
              <a:lnTo>
                <a:pt x="0" y="9969741"/>
              </a:lnTo>
              <a:lnTo>
                <a:pt x="7622" y="9969741"/>
              </a:lnTo>
              <a:lnTo>
                <a:pt x="7622" y="0"/>
              </a:lnTo>
              <a:close/>
            </a:path>
          </a:pathLst>
        </a:custGeom>
        <a:solidFill>
          <a:srgbClr val="7f7f7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pageBreakPreview" topLeftCell="B1" colorId="64" zoomScale="100" zoomScaleNormal="145" zoomScalePageLayoutView="100" workbookViewId="0">
      <selection pane="topLeft" activeCell="E8" activeCellId="0" sqref="E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E2" s="4" t="s">
        <v>2</v>
      </c>
    </row>
    <row r="3" customFormat="false" ht="174" hidden="false" customHeight="true" outlineLevel="0" collapsed="false">
      <c r="A3" s="5" t="s">
        <v>3</v>
      </c>
      <c r="B3" s="5"/>
      <c r="C3" s="5"/>
      <c r="E3" s="6" t="s">
        <v>4</v>
      </c>
    </row>
    <row r="4" customFormat="false" ht="18.75" hidden="false" customHeight="true" outlineLevel="0" collapsed="false">
      <c r="A4" s="7"/>
      <c r="E4" s="8"/>
    </row>
    <row r="5" customFormat="false" ht="15.75" hidden="false" customHeight="true" outlineLevel="0" collapsed="false">
      <c r="A5" s="9" t="s">
        <v>5</v>
      </c>
      <c r="B5" s="9"/>
      <c r="C5" s="9"/>
      <c r="E5" s="10" t="s">
        <v>6</v>
      </c>
    </row>
    <row r="6" customFormat="false" ht="15" hidden="false" customHeight="false" outlineLevel="0" collapsed="false">
      <c r="A6" s="9" t="s">
        <v>7</v>
      </c>
      <c r="B6" s="9" t="s">
        <v>8</v>
      </c>
      <c r="C6" s="11" t="s">
        <v>9</v>
      </c>
      <c r="E6" s="10" t="s">
        <v>10</v>
      </c>
    </row>
    <row r="7" customFormat="false" ht="15.75" hidden="false" customHeight="true" outlineLevel="0" collapsed="false">
      <c r="A7" s="9"/>
      <c r="B7" s="9"/>
      <c r="C7" s="12" t="s">
        <v>11</v>
      </c>
      <c r="E7" s="10" t="s">
        <v>12</v>
      </c>
    </row>
    <row r="8" customFormat="false" ht="15" hidden="false" customHeight="false" outlineLevel="0" collapsed="false">
      <c r="A8" s="13" t="s">
        <v>13</v>
      </c>
      <c r="B8" s="11" t="n">
        <v>30</v>
      </c>
      <c r="C8" s="11" t="n">
        <v>7</v>
      </c>
      <c r="D8" s="1" t="n">
        <f aca="false">(7/30)/12</f>
        <v>0.0194444444444444</v>
      </c>
      <c r="E8" s="14" t="s">
        <v>14</v>
      </c>
    </row>
    <row r="9" customFormat="false" ht="13.5" hidden="false" customHeight="true" outlineLevel="0" collapsed="false">
      <c r="A9" s="15" t="s">
        <v>15</v>
      </c>
      <c r="B9" s="16" t="n">
        <v>33</v>
      </c>
      <c r="C9" s="16" t="n">
        <v>8</v>
      </c>
      <c r="D9" s="1" t="n">
        <f aca="false">(3/30)/12</f>
        <v>0.00833333333333333</v>
      </c>
    </row>
    <row r="10" customFormat="false" ht="13.5" hidden="false" customHeight="true" outlineLevel="0" collapsed="false">
      <c r="A10" s="15" t="s">
        <v>16</v>
      </c>
      <c r="B10" s="16" t="n">
        <v>36</v>
      </c>
      <c r="C10" s="16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5" t="s">
        <v>17</v>
      </c>
      <c r="B11" s="16" t="n">
        <v>39</v>
      </c>
      <c r="C11" s="16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17" t="s">
        <v>18</v>
      </c>
      <c r="B12" s="18" t="n">
        <v>42</v>
      </c>
      <c r="C12" s="18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5" t="s">
        <v>19</v>
      </c>
      <c r="B13" s="16" t="n">
        <v>45</v>
      </c>
      <c r="C13" s="16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5" t="s">
        <v>21</v>
      </c>
      <c r="B14" s="16" t="n">
        <v>48</v>
      </c>
      <c r="C14" s="16" t="n">
        <v>11</v>
      </c>
      <c r="E14" s="1" t="s">
        <v>22</v>
      </c>
    </row>
    <row r="15" customFormat="false" ht="15" hidden="false" customHeight="false" outlineLevel="0" collapsed="false">
      <c r="A15" s="15" t="s">
        <v>23</v>
      </c>
      <c r="B15" s="16" t="n">
        <v>51</v>
      </c>
      <c r="C15" s="16" t="n">
        <v>12</v>
      </c>
    </row>
    <row r="16" customFormat="false" ht="15" hidden="false" customHeight="false" outlineLevel="0" collapsed="false">
      <c r="A16" s="15" t="s">
        <v>24</v>
      </c>
      <c r="B16" s="16" t="n">
        <v>54</v>
      </c>
      <c r="C16" s="16" t="n">
        <v>13</v>
      </c>
    </row>
    <row r="17" customFormat="false" ht="15" hidden="false" customHeight="false" outlineLevel="0" collapsed="false">
      <c r="A17" s="15" t="s">
        <v>25</v>
      </c>
      <c r="B17" s="16" t="n">
        <v>57</v>
      </c>
      <c r="C17" s="16" t="n">
        <v>13</v>
      </c>
    </row>
    <row r="18" customFormat="false" ht="15" hidden="false" customHeight="false" outlineLevel="0" collapsed="false">
      <c r="A18" s="15" t="s">
        <v>26</v>
      </c>
      <c r="B18" s="16" t="n">
        <v>60</v>
      </c>
      <c r="C18" s="16" t="n">
        <v>14</v>
      </c>
    </row>
    <row r="19" customFormat="false" ht="15" hidden="false" customHeight="false" outlineLevel="0" collapsed="false">
      <c r="A19" s="15" t="s">
        <v>27</v>
      </c>
      <c r="B19" s="16" t="n">
        <v>63</v>
      </c>
      <c r="C19" s="16" t="n">
        <v>15</v>
      </c>
    </row>
    <row r="20" customFormat="false" ht="15" hidden="false" customHeight="false" outlineLevel="0" collapsed="false">
      <c r="A20" s="15" t="s">
        <v>28</v>
      </c>
      <c r="B20" s="16" t="n">
        <v>66</v>
      </c>
      <c r="C20" s="16" t="n">
        <v>15</v>
      </c>
    </row>
    <row r="21" customFormat="false" ht="15" hidden="false" customHeight="false" outlineLevel="0" collapsed="false">
      <c r="A21" s="15" t="s">
        <v>29</v>
      </c>
      <c r="B21" s="16" t="n">
        <v>69</v>
      </c>
      <c r="C21" s="16" t="n">
        <v>16</v>
      </c>
    </row>
    <row r="22" customFormat="false" ht="15" hidden="false" customHeight="false" outlineLevel="0" collapsed="false">
      <c r="A22" s="15" t="s">
        <v>30</v>
      </c>
      <c r="B22" s="16" t="n">
        <v>72</v>
      </c>
      <c r="C22" s="16" t="n">
        <v>17</v>
      </c>
    </row>
    <row r="23" customFormat="false" ht="15" hidden="false" customHeight="false" outlineLevel="0" collapsed="false">
      <c r="A23" s="15" t="s">
        <v>31</v>
      </c>
      <c r="B23" s="16" t="n">
        <v>75</v>
      </c>
      <c r="C23" s="16" t="n">
        <v>18</v>
      </c>
    </row>
    <row r="24" customFormat="false" ht="15" hidden="false" customHeight="false" outlineLevel="0" collapsed="false">
      <c r="A24" s="15" t="s">
        <v>32</v>
      </c>
      <c r="B24" s="16" t="n">
        <v>78</v>
      </c>
      <c r="C24" s="16" t="n">
        <v>18</v>
      </c>
    </row>
    <row r="25" customFormat="false" ht="15" hidden="false" customHeight="false" outlineLevel="0" collapsed="false">
      <c r="A25" s="15" t="s">
        <v>33</v>
      </c>
      <c r="B25" s="16" t="n">
        <v>81</v>
      </c>
      <c r="C25" s="16" t="n">
        <v>19</v>
      </c>
    </row>
    <row r="26" customFormat="false" ht="15" hidden="false" customHeight="false" outlineLevel="0" collapsed="false">
      <c r="A26" s="15" t="s">
        <v>34</v>
      </c>
      <c r="B26" s="16" t="n">
        <v>84</v>
      </c>
      <c r="C26" s="16" t="n">
        <v>20</v>
      </c>
    </row>
    <row r="27" customFormat="false" ht="15" hidden="false" customHeight="false" outlineLevel="0" collapsed="false">
      <c r="A27" s="15" t="s">
        <v>35</v>
      </c>
      <c r="B27" s="16" t="n">
        <v>87</v>
      </c>
      <c r="C27" s="16" t="n">
        <v>20</v>
      </c>
    </row>
    <row r="28" customFormat="false" ht="15" hidden="false" customHeight="false" outlineLevel="0" collapsed="false">
      <c r="A28" s="19" t="s">
        <v>36</v>
      </c>
      <c r="B28" s="12" t="n">
        <v>90</v>
      </c>
      <c r="C28" s="12" t="n">
        <v>21</v>
      </c>
      <c r="E28" s="20" t="s">
        <v>37</v>
      </c>
    </row>
    <row r="29" customFormat="false" ht="17.35" hidden="false" customHeight="false" outlineLevel="0" collapsed="false">
      <c r="A29" s="7"/>
    </row>
    <row r="30" customFormat="false" ht="145.5" hidden="false" customHeight="true" outlineLevel="0" collapsed="false">
      <c r="A30" s="21" t="s">
        <v>38</v>
      </c>
      <c r="B30" s="21"/>
      <c r="C30" s="21"/>
    </row>
    <row r="31" customFormat="false" ht="17.35" hidden="false" customHeight="false" outlineLevel="0" collapsed="false">
      <c r="A31" s="7"/>
    </row>
    <row r="32" customFormat="false" ht="17.35" hidden="false" customHeight="false" outlineLevel="0" collapsed="false">
      <c r="A32" s="22" t="s">
        <v>39</v>
      </c>
    </row>
    <row r="33" customFormat="false" ht="17.35" hidden="false" customHeight="false" outlineLevel="0" collapsed="false">
      <c r="A33" s="7"/>
    </row>
    <row r="34" customFormat="false" ht="15" hidden="false" customHeight="false" outlineLevel="0" collapsed="false">
      <c r="A34" s="5" t="s">
        <v>40</v>
      </c>
      <c r="B34" s="5"/>
      <c r="C34" s="5"/>
    </row>
    <row r="35" customFormat="false" ht="15" hidden="false" customHeight="false" outlineLevel="0" collapsed="false">
      <c r="A35" s="5"/>
      <c r="B35" s="5"/>
      <c r="C35" s="5"/>
    </row>
    <row r="36" customFormat="false" ht="15" hidden="false" customHeight="false" outlineLevel="0" collapsed="false">
      <c r="A36" s="5" t="s">
        <v>41</v>
      </c>
      <c r="B36" s="5"/>
      <c r="C36" s="5"/>
    </row>
    <row r="37" customFormat="false" ht="15" hidden="false" customHeight="false" outlineLevel="0" collapsed="false">
      <c r="A37" s="5"/>
      <c r="B37" s="5"/>
      <c r="C37" s="5"/>
    </row>
    <row r="40" customFormat="false" ht="15" hidden="false" customHeight="false" outlineLevel="0" collapsed="false">
      <c r="A40" s="23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E8" activeCellId="0" sqref="E8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24" width="42.86"/>
    <col collapsed="false" customWidth="true" hidden="false" outlineLevel="0" max="2" min="2" style="24" width="72.57"/>
    <col collapsed="false" customWidth="false" hidden="false" outlineLevel="0" max="16384" min="3" style="25" width="42.86"/>
  </cols>
  <sheetData>
    <row r="1" customFormat="false" ht="19.5" hidden="false" customHeight="true" outlineLevel="0" collapsed="false">
      <c r="A1" s="26" t="s">
        <v>43</v>
      </c>
      <c r="B1" s="26"/>
    </row>
    <row r="2" customFormat="false" ht="18.75" hidden="false" customHeight="false" outlineLevel="0" collapsed="false">
      <c r="A2" s="27" t="s">
        <v>44</v>
      </c>
      <c r="B2" s="27" t="s">
        <v>45</v>
      </c>
    </row>
    <row r="3" customFormat="false" ht="18.75" hidden="false" customHeight="false" outlineLevel="0" collapsed="false">
      <c r="A3" s="28" t="s">
        <v>46</v>
      </c>
      <c r="B3" s="29" t="s">
        <v>47</v>
      </c>
    </row>
    <row r="4" customFormat="false" ht="50.7" hidden="false" customHeight="false" outlineLevel="0" collapsed="false">
      <c r="A4" s="30" t="s">
        <v>48</v>
      </c>
      <c r="B4" s="31" t="s">
        <v>49</v>
      </c>
    </row>
    <row r="5" customFormat="false" ht="18.75" hidden="false" customHeight="false" outlineLevel="0" collapsed="false">
      <c r="A5" s="30" t="s">
        <v>50</v>
      </c>
      <c r="B5" s="31" t="s">
        <v>51</v>
      </c>
    </row>
    <row r="6" customFormat="false" ht="67.15" hidden="false" customHeight="false" outlineLevel="0" collapsed="false">
      <c r="A6" s="30" t="s">
        <v>52</v>
      </c>
      <c r="B6" s="31" t="s">
        <v>53</v>
      </c>
    </row>
    <row r="7" customFormat="false" ht="34.3" hidden="false" customHeight="false" outlineLevel="0" collapsed="false">
      <c r="A7" s="30" t="s">
        <v>54</v>
      </c>
      <c r="B7" s="31" t="s">
        <v>55</v>
      </c>
    </row>
    <row r="8" customFormat="false" ht="18.75" hidden="false" customHeight="false" outlineLevel="0" collapsed="false">
      <c r="A8" s="30" t="s">
        <v>56</v>
      </c>
      <c r="B8" s="31" t="s">
        <v>57</v>
      </c>
    </row>
    <row r="9" customFormat="false" ht="34.3" hidden="false" customHeight="false" outlineLevel="0" collapsed="false">
      <c r="A9" s="30" t="s">
        <v>58</v>
      </c>
      <c r="B9" s="31" t="s">
        <v>59</v>
      </c>
    </row>
    <row r="10" customFormat="false" ht="50.7" hidden="false" customHeight="false" outlineLevel="0" collapsed="false">
      <c r="A10" s="30" t="s">
        <v>60</v>
      </c>
      <c r="B10" s="31" t="s">
        <v>61</v>
      </c>
    </row>
    <row r="11" customFormat="false" ht="67.15" hidden="false" customHeight="false" outlineLevel="0" collapsed="false">
      <c r="A11" s="30" t="s">
        <v>62</v>
      </c>
      <c r="B11" s="31" t="s">
        <v>63</v>
      </c>
    </row>
    <row r="12" customFormat="false" ht="50.7" hidden="false" customHeight="false" outlineLevel="0" collapsed="false">
      <c r="A12" s="30" t="s">
        <v>60</v>
      </c>
      <c r="B12" s="31" t="s">
        <v>64</v>
      </c>
    </row>
    <row r="13" customFormat="false" ht="34.3" hidden="false" customHeight="false" outlineLevel="0" collapsed="false">
      <c r="A13" s="30" t="s">
        <v>60</v>
      </c>
      <c r="B13" s="31" t="s">
        <v>65</v>
      </c>
    </row>
    <row r="14" customFormat="false" ht="34.3" hidden="false" customHeight="false" outlineLevel="0" collapsed="false">
      <c r="A14" s="30" t="s">
        <v>60</v>
      </c>
      <c r="B14" s="31" t="s">
        <v>66</v>
      </c>
    </row>
    <row r="15" customFormat="false" ht="18.75" hidden="false" customHeight="false" outlineLevel="0" collapsed="false">
      <c r="A15" s="30" t="s">
        <v>60</v>
      </c>
      <c r="B15" s="31" t="s">
        <v>67</v>
      </c>
    </row>
    <row r="16" customFormat="false" ht="34.3" hidden="false" customHeight="false" outlineLevel="0" collapsed="false">
      <c r="A16" s="30" t="s">
        <v>68</v>
      </c>
      <c r="B16" s="31" t="s">
        <v>69</v>
      </c>
    </row>
    <row r="17" customFormat="false" ht="34.3" hidden="false" customHeight="false" outlineLevel="0" collapsed="false">
      <c r="A17" s="30" t="s">
        <v>70</v>
      </c>
      <c r="B17" s="31" t="s">
        <v>71</v>
      </c>
    </row>
    <row r="18" customFormat="false" ht="34.3" hidden="false" customHeight="false" outlineLevel="0" collapsed="false">
      <c r="A18" s="30" t="s">
        <v>60</v>
      </c>
      <c r="B18" s="31" t="s">
        <v>72</v>
      </c>
    </row>
    <row r="19" customFormat="false" ht="34.3" hidden="false" customHeight="false" outlineLevel="0" collapsed="false">
      <c r="A19" s="30" t="s">
        <v>60</v>
      </c>
      <c r="B19" s="31" t="s">
        <v>73</v>
      </c>
    </row>
    <row r="20" customFormat="false" ht="34.3" hidden="false" customHeight="false" outlineLevel="0" collapsed="false">
      <c r="A20" s="30" t="s">
        <v>60</v>
      </c>
      <c r="B20" s="31" t="s">
        <v>74</v>
      </c>
    </row>
    <row r="21" customFormat="false" ht="50.7" hidden="false" customHeight="false" outlineLevel="0" collapsed="false">
      <c r="A21" s="30" t="s">
        <v>60</v>
      </c>
      <c r="B21" s="31" t="s">
        <v>75</v>
      </c>
    </row>
    <row r="22" customFormat="false" ht="18.75" hidden="false" customHeight="false" outlineLevel="0" collapsed="false">
      <c r="A22" s="32" t="s">
        <v>60</v>
      </c>
      <c r="B22" s="33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7" activeCellId="0" sqref="G17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34" width="10.71"/>
    <col collapsed="false" customWidth="true" hidden="false" outlineLevel="0" max="2" min="2" style="35" width="60.71"/>
    <col collapsed="false" customWidth="true" hidden="false" outlineLevel="0" max="3" min="3" style="34" width="30.71"/>
    <col collapsed="false" customWidth="true" hidden="false" outlineLevel="0" max="5" min="4" style="34" width="15.71"/>
    <col collapsed="false" customWidth="true" hidden="false" outlineLevel="0" max="8" min="6" style="36" width="15.71"/>
    <col collapsed="false" customWidth="false" hidden="false" outlineLevel="0" max="16384" min="9" style="34" width="9.14"/>
  </cols>
  <sheetData>
    <row r="1" customFormat="false" ht="15" hidden="false" customHeight="true" outlineLevel="0" collapsed="false">
      <c r="A1" s="37" t="s">
        <v>77</v>
      </c>
      <c r="B1" s="37"/>
      <c r="C1" s="37"/>
      <c r="D1" s="37"/>
      <c r="E1" s="37"/>
      <c r="F1" s="37"/>
      <c r="G1" s="37"/>
      <c r="H1" s="37"/>
    </row>
    <row r="2" customFormat="false" ht="15" hidden="false" customHeight="true" outlineLevel="0" collapsed="false">
      <c r="A2" s="38"/>
      <c r="B2" s="38"/>
      <c r="C2" s="38"/>
      <c r="D2" s="38"/>
      <c r="E2" s="38"/>
      <c r="F2" s="38"/>
      <c r="G2" s="38"/>
      <c r="H2" s="38"/>
    </row>
    <row r="3" customFormat="false" ht="15" hidden="false" customHeight="true" outlineLevel="0" collapsed="false">
      <c r="A3" s="39" t="s">
        <v>78</v>
      </c>
      <c r="B3" s="39"/>
      <c r="C3" s="39"/>
      <c r="D3" s="39"/>
      <c r="E3" s="39"/>
      <c r="F3" s="39"/>
      <c r="G3" s="39"/>
      <c r="H3" s="39"/>
    </row>
    <row r="4" customFormat="false" ht="60" hidden="false" customHeight="true" outlineLevel="0" collapsed="false">
      <c r="A4" s="40" t="s">
        <v>79</v>
      </c>
      <c r="B4" s="41" t="s">
        <v>80</v>
      </c>
      <c r="C4" s="41" t="s">
        <v>81</v>
      </c>
      <c r="D4" s="41" t="s">
        <v>82</v>
      </c>
      <c r="E4" s="41" t="s">
        <v>83</v>
      </c>
      <c r="F4" s="42" t="s">
        <v>84</v>
      </c>
      <c r="G4" s="42" t="s">
        <v>85</v>
      </c>
      <c r="H4" s="43" t="s">
        <v>86</v>
      </c>
    </row>
    <row r="5" customFormat="false" ht="15" hidden="false" customHeight="true" outlineLevel="0" collapsed="false">
      <c r="A5" s="44" t="n">
        <v>1</v>
      </c>
      <c r="B5" s="45" t="s">
        <v>87</v>
      </c>
      <c r="C5" s="46" t="s">
        <v>88</v>
      </c>
      <c r="D5" s="47" t="n">
        <v>2</v>
      </c>
      <c r="E5" s="47" t="n">
        <v>12</v>
      </c>
      <c r="F5" s="48" t="n">
        <f aca="false">'Vigilante - Diurno'!E113</f>
        <v>14178.5628655691</v>
      </c>
      <c r="G5" s="48" t="n">
        <f aca="false">F5*D5</f>
        <v>28357.1257311381</v>
      </c>
      <c r="H5" s="49" t="n">
        <f aca="false">G5*12</f>
        <v>340285.508773657</v>
      </c>
    </row>
    <row r="6" customFormat="false" ht="15" hidden="false" customHeight="true" outlineLevel="0" collapsed="false">
      <c r="A6" s="50" t="n">
        <v>2</v>
      </c>
      <c r="B6" s="51" t="s">
        <v>87</v>
      </c>
      <c r="C6" s="52" t="s">
        <v>89</v>
      </c>
      <c r="D6" s="53" t="n">
        <v>2</v>
      </c>
      <c r="E6" s="53" t="n">
        <v>12</v>
      </c>
      <c r="F6" s="54" t="n">
        <f aca="false">'Vigilante - Noturno'!E113</f>
        <v>15658.4659999195</v>
      </c>
      <c r="G6" s="48" t="n">
        <f aca="false">F6*D6</f>
        <v>31316.931999839</v>
      </c>
      <c r="H6" s="55" t="n">
        <f aca="false">G6*12</f>
        <v>375803.183998068</v>
      </c>
    </row>
    <row r="7" customFormat="false" ht="15" hidden="false" customHeight="true" outlineLevel="0" collapsed="false">
      <c r="A7" s="56"/>
      <c r="B7" s="57"/>
      <c r="C7" s="58"/>
      <c r="D7" s="58"/>
      <c r="E7" s="58"/>
      <c r="F7" s="58"/>
      <c r="G7" s="59" t="n">
        <f aca="false">SUM(G5:G6)</f>
        <v>59674.0577309771</v>
      </c>
      <c r="H7" s="59" t="n">
        <f aca="false">SUM(H5:H6)</f>
        <v>716088.692771725</v>
      </c>
    </row>
    <row r="10" s="34" customFormat="true" ht="12.75" hidden="false" customHeight="false" outlineLevel="0" collapsed="false"/>
    <row r="11" s="34" customFormat="true" ht="12.75" hidden="false" customHeight="false" outlineLevel="0" collapsed="false"/>
    <row r="17" customFormat="false" ht="12.75" hidden="false" customHeight="false" outlineLevel="0" collapsed="false">
      <c r="E17" s="60"/>
    </row>
  </sheetData>
  <mergeCells count="4">
    <mergeCell ref="A1:H1"/>
    <mergeCell ref="A2:H2"/>
    <mergeCell ref="A3:H3"/>
    <mergeCell ref="C7:F7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8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115" zoomScalePageLayoutView="100" workbookViewId="0">
      <selection pane="topLeft" activeCell="C45" activeCellId="0" sqref="C45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1" width="8.71"/>
    <col collapsed="false" customWidth="true" hidden="false" outlineLevel="0" max="2" min="2" style="62" width="72.71"/>
    <col collapsed="false" customWidth="true" hidden="false" outlineLevel="0" max="3" min="3" style="62" width="15.71"/>
    <col collapsed="false" customWidth="true" hidden="false" outlineLevel="0" max="4" min="4" style="63" width="15.71"/>
    <col collapsed="false" customWidth="true" hidden="false" outlineLevel="0" max="5" min="5" style="64" width="15.71"/>
    <col collapsed="false" customWidth="false" hidden="false" outlineLevel="0" max="16384" min="6" style="65" width="9.14"/>
  </cols>
  <sheetData>
    <row r="1" customFormat="false" ht="15.75" hidden="false" customHeight="false" outlineLevel="0" collapsed="false">
      <c r="A1" s="66"/>
      <c r="B1" s="66"/>
      <c r="C1" s="66"/>
      <c r="D1" s="66"/>
      <c r="E1" s="66"/>
    </row>
    <row r="2" s="68" customFormat="true" ht="16.5" hidden="false" customHeight="true" outlineLevel="0" collapsed="false">
      <c r="A2" s="67"/>
      <c r="B2" s="67"/>
      <c r="C2" s="67"/>
      <c r="D2" s="67"/>
      <c r="E2" s="67"/>
    </row>
    <row r="3" s="68" customFormat="true" ht="15.75" hidden="false" customHeight="false" outlineLevel="0" collapsed="false">
      <c r="A3" s="69" t="s">
        <v>90</v>
      </c>
      <c r="B3" s="69"/>
      <c r="C3" s="69"/>
      <c r="D3" s="69"/>
      <c r="E3" s="69"/>
    </row>
    <row r="4" s="68" customFormat="true" ht="15" hidden="false" customHeight="true" outlineLevel="0" collapsed="false">
      <c r="A4" s="70" t="s">
        <v>91</v>
      </c>
      <c r="B4" s="71" t="s">
        <v>92</v>
      </c>
      <c r="C4" s="72" t="n">
        <v>2025</v>
      </c>
      <c r="D4" s="72"/>
      <c r="E4" s="72"/>
    </row>
    <row r="5" s="68" customFormat="true" ht="15" hidden="false" customHeight="true" outlineLevel="0" collapsed="false">
      <c r="A5" s="70" t="s">
        <v>93</v>
      </c>
      <c r="B5" s="71" t="s">
        <v>80</v>
      </c>
      <c r="C5" s="73" t="s">
        <v>94</v>
      </c>
      <c r="D5" s="73"/>
      <c r="E5" s="73"/>
    </row>
    <row r="6" s="68" customFormat="true" ht="15.75" hidden="false" customHeight="true" outlineLevel="0" collapsed="false">
      <c r="A6" s="70" t="s">
        <v>95</v>
      </c>
      <c r="B6" s="71" t="s">
        <v>96</v>
      </c>
      <c r="C6" s="74" t="s">
        <v>97</v>
      </c>
      <c r="D6" s="74"/>
      <c r="E6" s="74"/>
    </row>
    <row r="7" s="68" customFormat="true" ht="15.75" hidden="false" customHeight="false" outlineLevel="0" collapsed="false">
      <c r="A7" s="70"/>
      <c r="B7" s="71" t="s">
        <v>98</v>
      </c>
      <c r="C7" s="73" t="n">
        <v>12</v>
      </c>
      <c r="D7" s="73"/>
      <c r="E7" s="73"/>
    </row>
    <row r="8" s="68" customFormat="true" ht="15.75" hidden="false" customHeight="false" outlineLevel="0" collapsed="false">
      <c r="A8" s="75" t="s">
        <v>99</v>
      </c>
      <c r="B8" s="75"/>
      <c r="C8" s="75"/>
      <c r="D8" s="75"/>
      <c r="E8" s="75"/>
    </row>
    <row r="9" s="68" customFormat="true" ht="15.75" hidden="false" customHeight="false" outlineLevel="0" collapsed="false">
      <c r="A9" s="76" t="s">
        <v>100</v>
      </c>
      <c r="B9" s="76"/>
      <c r="C9" s="76"/>
      <c r="D9" s="76"/>
      <c r="E9" s="76"/>
    </row>
    <row r="10" s="68" customFormat="true" ht="15.75" hidden="false" customHeight="true" outlineLevel="0" collapsed="false">
      <c r="A10" s="77" t="s">
        <v>101</v>
      </c>
      <c r="B10" s="77"/>
      <c r="C10" s="77"/>
      <c r="D10" s="77"/>
      <c r="E10" s="77"/>
    </row>
    <row r="11" s="68" customFormat="true" ht="30" hidden="false" customHeight="true" outlineLevel="0" collapsed="false">
      <c r="A11" s="78" t="s">
        <v>102</v>
      </c>
      <c r="B11" s="78"/>
      <c r="C11" s="78"/>
      <c r="D11" s="78"/>
      <c r="E11" s="79" t="s">
        <v>103</v>
      </c>
    </row>
    <row r="12" s="68" customFormat="true" ht="15.75" hidden="false" customHeight="true" outlineLevel="0" collapsed="false">
      <c r="A12" s="70" t="n">
        <v>1</v>
      </c>
      <c r="B12" s="80" t="s">
        <v>104</v>
      </c>
      <c r="C12" s="81" t="s">
        <v>94</v>
      </c>
      <c r="D12" s="81"/>
      <c r="E12" s="81"/>
    </row>
    <row r="13" s="68" customFormat="true" ht="30" hidden="false" customHeight="true" outlineLevel="0" collapsed="false">
      <c r="A13" s="70" t="n">
        <v>2</v>
      </c>
      <c r="B13" s="80" t="s">
        <v>105</v>
      </c>
      <c r="C13" s="82" t="n">
        <v>1803.43</v>
      </c>
      <c r="D13" s="82"/>
      <c r="E13" s="82"/>
    </row>
    <row r="14" s="68" customFormat="true" ht="15.75" hidden="false" customHeight="true" outlineLevel="0" collapsed="false">
      <c r="A14" s="70" t="n">
        <v>3</v>
      </c>
      <c r="B14" s="80" t="s">
        <v>106</v>
      </c>
      <c r="C14" s="81" t="s">
        <v>107</v>
      </c>
      <c r="D14" s="81"/>
      <c r="E14" s="81"/>
    </row>
    <row r="15" s="68" customFormat="true" ht="15.75" hidden="false" customHeight="false" outlineLevel="0" collapsed="false">
      <c r="A15" s="70" t="n">
        <v>4</v>
      </c>
      <c r="B15" s="83" t="s">
        <v>108</v>
      </c>
      <c r="C15" s="84" t="n">
        <v>45805</v>
      </c>
      <c r="D15" s="84"/>
      <c r="E15" s="84"/>
    </row>
    <row r="16" s="86" customFormat="true" ht="15.75" hidden="false" customHeight="false" outlineLevel="0" collapsed="false">
      <c r="A16" s="85" t="s">
        <v>109</v>
      </c>
      <c r="B16" s="85"/>
      <c r="C16" s="85"/>
      <c r="D16" s="85"/>
      <c r="E16" s="85"/>
    </row>
    <row r="17" s="86" customFormat="true" ht="15.75" hidden="false" customHeight="true" outlineLevel="0" collapsed="false">
      <c r="A17" s="87" t="n">
        <v>1</v>
      </c>
      <c r="B17" s="88" t="s">
        <v>110</v>
      </c>
      <c r="C17" s="88"/>
      <c r="D17" s="88"/>
      <c r="E17" s="89" t="s">
        <v>103</v>
      </c>
    </row>
    <row r="18" s="68" customFormat="true" ht="15.75" hidden="false" customHeight="true" outlineLevel="0" collapsed="false">
      <c r="A18" s="90" t="s">
        <v>91</v>
      </c>
      <c r="B18" s="91" t="s">
        <v>111</v>
      </c>
      <c r="C18" s="92"/>
      <c r="D18" s="93"/>
      <c r="E18" s="94" t="n">
        <f aca="false">C13</f>
        <v>1803.43</v>
      </c>
    </row>
    <row r="19" s="68" customFormat="true" ht="15.75" hidden="false" customHeight="true" outlineLevel="0" collapsed="false">
      <c r="A19" s="90" t="s">
        <v>93</v>
      </c>
      <c r="B19" s="91" t="s">
        <v>112</v>
      </c>
      <c r="C19" s="95" t="n">
        <v>0</v>
      </c>
      <c r="D19" s="96" t="n">
        <v>1621</v>
      </c>
      <c r="E19" s="94" t="n">
        <f aca="false">D19*C19</f>
        <v>0</v>
      </c>
    </row>
    <row r="20" s="68" customFormat="true" ht="15.75" hidden="false" customHeight="true" outlineLevel="0" collapsed="false">
      <c r="A20" s="90" t="s">
        <v>95</v>
      </c>
      <c r="B20" s="91" t="s">
        <v>113</v>
      </c>
      <c r="C20" s="95" t="n">
        <v>0</v>
      </c>
      <c r="D20" s="97"/>
      <c r="E20" s="94" t="n">
        <v>0</v>
      </c>
    </row>
    <row r="21" s="68" customFormat="true" ht="15.75" hidden="false" customHeight="true" outlineLevel="0" collapsed="false">
      <c r="A21" s="90"/>
      <c r="B21" s="98" t="s">
        <v>114</v>
      </c>
      <c r="C21" s="98"/>
      <c r="D21" s="98"/>
      <c r="E21" s="94" t="n">
        <f aca="false">E18+E19+E20</f>
        <v>1803.43</v>
      </c>
    </row>
    <row r="22" s="68" customFormat="true" ht="15.75" hidden="false" customHeight="false" outlineLevel="0" collapsed="false">
      <c r="A22" s="90" t="s">
        <v>115</v>
      </c>
      <c r="B22" s="91" t="s">
        <v>116</v>
      </c>
      <c r="C22" s="95" t="n">
        <v>0.3</v>
      </c>
      <c r="D22" s="96" t="n">
        <f aca="false">E18</f>
        <v>1803.43</v>
      </c>
      <c r="E22" s="94" t="n">
        <f aca="false">D22*C22</f>
        <v>541.029</v>
      </c>
    </row>
    <row r="23" s="86" customFormat="true" ht="15.75" hidden="false" customHeight="true" outlineLevel="0" collapsed="false">
      <c r="A23" s="99" t="s">
        <v>117</v>
      </c>
      <c r="B23" s="99"/>
      <c r="C23" s="99"/>
      <c r="D23" s="99"/>
      <c r="E23" s="100" t="n">
        <f aca="false">SUM(E21:E22)</f>
        <v>2344.459</v>
      </c>
    </row>
    <row r="24" s="86" customFormat="true" ht="15.75" hidden="false" customHeight="false" outlineLevel="0" collapsed="false">
      <c r="A24" s="85" t="s">
        <v>118</v>
      </c>
      <c r="B24" s="85"/>
      <c r="C24" s="85"/>
      <c r="D24" s="85"/>
      <c r="E24" s="85"/>
    </row>
    <row r="25" s="68" customFormat="true" ht="23.85" hidden="false" customHeight="false" outlineLevel="0" collapsed="false">
      <c r="A25" s="101" t="s">
        <v>119</v>
      </c>
      <c r="B25" s="102" t="s">
        <v>120</v>
      </c>
      <c r="C25" s="103" t="s">
        <v>121</v>
      </c>
      <c r="D25" s="104"/>
      <c r="E25" s="105" t="s">
        <v>103</v>
      </c>
    </row>
    <row r="26" s="68" customFormat="true" ht="15.75" hidden="false" customHeight="false" outlineLevel="0" collapsed="false">
      <c r="A26" s="106" t="s">
        <v>91</v>
      </c>
      <c r="B26" s="107" t="s">
        <v>122</v>
      </c>
      <c r="C26" s="108" t="n">
        <f aca="false">E23</f>
        <v>2344.459</v>
      </c>
      <c r="D26" s="109" t="n">
        <f aca="false">1/12</f>
        <v>0.0833333333333333</v>
      </c>
      <c r="E26" s="110" t="n">
        <f aca="false">(C26)*D26</f>
        <v>195.371583333333</v>
      </c>
    </row>
    <row r="27" s="68" customFormat="true" ht="15.75" hidden="false" customHeight="false" outlineLevel="0" collapsed="false">
      <c r="A27" s="106" t="s">
        <v>93</v>
      </c>
      <c r="B27" s="111" t="s">
        <v>123</v>
      </c>
      <c r="C27" s="108" t="n">
        <f aca="false">E23</f>
        <v>2344.459</v>
      </c>
      <c r="D27" s="109" t="n">
        <v>0.1111</v>
      </c>
      <c r="E27" s="110" t="n">
        <f aca="false">(C27)*D27</f>
        <v>260.4693949</v>
      </c>
    </row>
    <row r="28" customFormat="false" ht="15.75" hidden="false" customHeight="true" outlineLevel="0" collapsed="false">
      <c r="A28" s="112" t="s">
        <v>124</v>
      </c>
      <c r="B28" s="112"/>
      <c r="C28" s="112"/>
      <c r="D28" s="113" t="n">
        <f aca="false">SUM(D26:D27)</f>
        <v>0.194433333333333</v>
      </c>
      <c r="E28" s="114" t="n">
        <f aca="false">SUM(E26:E27)</f>
        <v>455.840978233333</v>
      </c>
    </row>
    <row r="29" customFormat="false" ht="30" hidden="false" customHeight="true" outlineLevel="0" collapsed="false">
      <c r="A29" s="115" t="s">
        <v>125</v>
      </c>
      <c r="B29" s="115"/>
      <c r="C29" s="115"/>
      <c r="D29" s="115"/>
      <c r="E29" s="115"/>
    </row>
    <row r="30" customFormat="false" ht="23.85" hidden="false" customHeight="false" outlineLevel="0" collapsed="false">
      <c r="A30" s="116" t="s">
        <v>126</v>
      </c>
      <c r="B30" s="117" t="s">
        <v>127</v>
      </c>
      <c r="C30" s="118" t="s">
        <v>121</v>
      </c>
      <c r="D30" s="119"/>
      <c r="E30" s="120" t="s">
        <v>103</v>
      </c>
    </row>
    <row r="31" customFormat="false" ht="15.75" hidden="false" customHeight="false" outlineLevel="0" collapsed="false">
      <c r="A31" s="106" t="s">
        <v>91</v>
      </c>
      <c r="B31" s="121" t="s">
        <v>128</v>
      </c>
      <c r="C31" s="108" t="n">
        <f aca="false">E$23+E$28</f>
        <v>2800.29997823333</v>
      </c>
      <c r="D31" s="109" t="n">
        <v>0.2</v>
      </c>
      <c r="E31" s="110" t="n">
        <f aca="false">C31*D31</f>
        <v>560.059995646667</v>
      </c>
    </row>
    <row r="32" customFormat="false" ht="15.75" hidden="false" customHeight="false" outlineLevel="0" collapsed="false">
      <c r="A32" s="106" t="s">
        <v>93</v>
      </c>
      <c r="B32" s="121" t="s">
        <v>129</v>
      </c>
      <c r="C32" s="108" t="n">
        <f aca="false">E$23+E$28</f>
        <v>2800.29997823333</v>
      </c>
      <c r="D32" s="122" t="n">
        <v>0.025</v>
      </c>
      <c r="E32" s="110" t="n">
        <f aca="false">C32*D32</f>
        <v>70.0074994558333</v>
      </c>
    </row>
    <row r="33" customFormat="false" ht="35.05" hidden="false" customHeight="false" outlineLevel="0" collapsed="false">
      <c r="A33" s="106" t="s">
        <v>95</v>
      </c>
      <c r="B33" s="123" t="s">
        <v>130</v>
      </c>
      <c r="C33" s="108" t="n">
        <f aca="false">E$23+E$28</f>
        <v>2800.29997823333</v>
      </c>
      <c r="D33" s="122" t="n">
        <v>0.06</v>
      </c>
      <c r="E33" s="110" t="n">
        <f aca="false">C33*D33</f>
        <v>168.017998694</v>
      </c>
    </row>
    <row r="34" customFormat="false" ht="15.75" hidden="false" customHeight="false" outlineLevel="0" collapsed="false">
      <c r="A34" s="106" t="s">
        <v>115</v>
      </c>
      <c r="B34" s="121" t="s">
        <v>131</v>
      </c>
      <c r="C34" s="108" t="n">
        <f aca="false">E$23+E$28</f>
        <v>2800.29997823333</v>
      </c>
      <c r="D34" s="122" t="n">
        <v>0.015</v>
      </c>
      <c r="E34" s="110" t="n">
        <f aca="false">C34*D34</f>
        <v>42.0044996735</v>
      </c>
    </row>
    <row r="35" customFormat="false" ht="15.75" hidden="false" customHeight="false" outlineLevel="0" collapsed="false">
      <c r="A35" s="106" t="s">
        <v>132</v>
      </c>
      <c r="B35" s="121" t="s">
        <v>133</v>
      </c>
      <c r="C35" s="108" t="n">
        <f aca="false">E$23+E$28</f>
        <v>2800.29997823333</v>
      </c>
      <c r="D35" s="122" t="n">
        <v>0.01</v>
      </c>
      <c r="E35" s="110" t="n">
        <f aca="false">C35*D35</f>
        <v>28.0029997823333</v>
      </c>
    </row>
    <row r="36" customFormat="false" ht="15.75" hidden="false" customHeight="false" outlineLevel="0" collapsed="false">
      <c r="A36" s="106" t="s">
        <v>134</v>
      </c>
      <c r="B36" s="124" t="s">
        <v>135</v>
      </c>
      <c r="C36" s="108" t="n">
        <f aca="false">E$23+E$28</f>
        <v>2800.29997823333</v>
      </c>
      <c r="D36" s="122" t="n">
        <v>0.006</v>
      </c>
      <c r="E36" s="110" t="n">
        <f aca="false">C36*D36</f>
        <v>16.8017998694</v>
      </c>
    </row>
    <row r="37" customFormat="false" ht="15.75" hidden="false" customHeight="false" outlineLevel="0" collapsed="false">
      <c r="A37" s="106" t="s">
        <v>136</v>
      </c>
      <c r="B37" s="123" t="s">
        <v>137</v>
      </c>
      <c r="C37" s="108" t="n">
        <f aca="false">E$23+E$28</f>
        <v>2800.29997823333</v>
      </c>
      <c r="D37" s="122" t="n">
        <v>0.002</v>
      </c>
      <c r="E37" s="110" t="n">
        <f aca="false">C37*D37</f>
        <v>5.60059995646667</v>
      </c>
    </row>
    <row r="38" customFormat="false" ht="15.75" hidden="false" customHeight="false" outlineLevel="0" collapsed="false">
      <c r="A38" s="106" t="s">
        <v>138</v>
      </c>
      <c r="B38" s="121" t="s">
        <v>139</v>
      </c>
      <c r="C38" s="108" t="n">
        <f aca="false">E$23+E$28</f>
        <v>2800.29997823333</v>
      </c>
      <c r="D38" s="122" t="n">
        <v>0.08</v>
      </c>
      <c r="E38" s="110" t="n">
        <f aca="false">C38*D38</f>
        <v>224.023998258667</v>
      </c>
    </row>
    <row r="39" s="126" customFormat="true" ht="15.75" hidden="false" customHeight="true" outlineLevel="0" collapsed="false">
      <c r="A39" s="112" t="s">
        <v>124</v>
      </c>
      <c r="B39" s="112"/>
      <c r="C39" s="112"/>
      <c r="D39" s="125" t="n">
        <f aca="false">SUM(D31:D38)</f>
        <v>0.398</v>
      </c>
      <c r="E39" s="114" t="n">
        <f aca="false">SUM(E31:E38)</f>
        <v>1114.51939133687</v>
      </c>
    </row>
    <row r="40" s="126" customFormat="true" ht="15.75" hidden="false" customHeight="false" outlineLevel="0" collapsed="false">
      <c r="A40" s="127" t="s">
        <v>140</v>
      </c>
      <c r="B40" s="127"/>
      <c r="C40" s="127"/>
      <c r="D40" s="127"/>
      <c r="E40" s="127"/>
    </row>
    <row r="41" s="126" customFormat="true" ht="23.85" hidden="false" customHeight="false" outlineLevel="0" collapsed="false">
      <c r="A41" s="128" t="s">
        <v>141</v>
      </c>
      <c r="B41" s="129" t="s">
        <v>142</v>
      </c>
      <c r="C41" s="103" t="s">
        <v>121</v>
      </c>
      <c r="D41" s="104"/>
      <c r="E41" s="105" t="s">
        <v>103</v>
      </c>
    </row>
    <row r="42" s="126" customFormat="true" ht="15.75" hidden="false" customHeight="true" outlineLevel="0" collapsed="false">
      <c r="A42" s="130" t="s">
        <v>91</v>
      </c>
      <c r="B42" s="131" t="s">
        <v>143</v>
      </c>
      <c r="C42" s="132" t="n">
        <v>3</v>
      </c>
      <c r="D42" s="131"/>
      <c r="E42" s="133" t="n">
        <v>0</v>
      </c>
    </row>
    <row r="43" s="126" customFormat="true" ht="15.75" hidden="false" customHeight="true" outlineLevel="0" collapsed="false">
      <c r="A43" s="106" t="s">
        <v>93</v>
      </c>
      <c r="B43" s="107" t="s">
        <v>144</v>
      </c>
      <c r="C43" s="134" t="n">
        <v>44</v>
      </c>
      <c r="D43" s="135"/>
      <c r="E43" s="110" t="n">
        <f aca="false">(C43*15.21)-((C43*15.21)*1%)</f>
        <v>662.5476</v>
      </c>
    </row>
    <row r="44" s="126" customFormat="true" ht="15.75" hidden="false" customHeight="true" outlineLevel="0" collapsed="false">
      <c r="A44" s="106" t="s">
        <v>95</v>
      </c>
      <c r="B44" s="107" t="s">
        <v>145</v>
      </c>
      <c r="C44" s="136" t="n">
        <f aca="false">C13*(16% -1%)</f>
        <v>270.5145</v>
      </c>
      <c r="D44" s="135"/>
      <c r="E44" s="110" t="n">
        <f aca="false">C44/12</f>
        <v>22.542875</v>
      </c>
    </row>
    <row r="45" s="126" customFormat="true" ht="15.75" hidden="false" customHeight="true" outlineLevel="0" collapsed="false">
      <c r="A45" s="106" t="s">
        <v>115</v>
      </c>
      <c r="B45" s="137" t="s">
        <v>146</v>
      </c>
      <c r="C45" s="134" t="n">
        <v>15.06</v>
      </c>
      <c r="D45" s="135"/>
      <c r="E45" s="110" t="n">
        <f aca="false">C45</f>
        <v>15.06</v>
      </c>
    </row>
    <row r="46" s="126" customFormat="true" ht="15.75" hidden="false" customHeight="true" outlineLevel="0" collapsed="false">
      <c r="A46" s="106" t="s">
        <v>132</v>
      </c>
      <c r="B46" s="107" t="s">
        <v>147</v>
      </c>
      <c r="C46" s="134"/>
      <c r="D46" s="135"/>
      <c r="E46" s="138" t="n">
        <v>5.82</v>
      </c>
    </row>
    <row r="47" s="126" customFormat="true" ht="15.75" hidden="false" customHeight="true" outlineLevel="0" collapsed="false">
      <c r="A47" s="112" t="s">
        <v>148</v>
      </c>
      <c r="B47" s="112"/>
      <c r="C47" s="112"/>
      <c r="D47" s="112"/>
      <c r="E47" s="114" t="n">
        <f aca="false">SUM(E42:E46)</f>
        <v>705.970475</v>
      </c>
    </row>
    <row r="48" s="126" customFormat="true" ht="15.75" hidden="false" customHeight="true" outlineLevel="0" collapsed="false">
      <c r="A48" s="127" t="s">
        <v>149</v>
      </c>
      <c r="B48" s="127"/>
      <c r="C48" s="127"/>
      <c r="D48" s="127"/>
      <c r="E48" s="127"/>
    </row>
    <row r="49" s="126" customFormat="true" ht="15.75" hidden="false" customHeight="true" outlineLevel="0" collapsed="false">
      <c r="A49" s="78" t="s">
        <v>119</v>
      </c>
      <c r="B49" s="139" t="s">
        <v>150</v>
      </c>
      <c r="C49" s="140"/>
      <c r="D49" s="140"/>
      <c r="E49" s="141" t="n">
        <f aca="false">E28</f>
        <v>455.840978233333</v>
      </c>
    </row>
    <row r="50" s="126" customFormat="true" ht="15.75" hidden="false" customHeight="true" outlineLevel="0" collapsed="false">
      <c r="A50" s="78" t="s">
        <v>126</v>
      </c>
      <c r="B50" s="139" t="s">
        <v>151</v>
      </c>
      <c r="C50" s="140"/>
      <c r="D50" s="140"/>
      <c r="E50" s="141" t="n">
        <f aca="false">E39</f>
        <v>1114.51939133687</v>
      </c>
    </row>
    <row r="51" s="126" customFormat="true" ht="15.75" hidden="false" customHeight="true" outlineLevel="0" collapsed="false">
      <c r="A51" s="78" t="s">
        <v>141</v>
      </c>
      <c r="B51" s="139" t="s">
        <v>152</v>
      </c>
      <c r="C51" s="140"/>
      <c r="D51" s="140"/>
      <c r="E51" s="141" t="n">
        <f aca="false">E47</f>
        <v>705.970475</v>
      </c>
    </row>
    <row r="52" s="126" customFormat="true" ht="15.75" hidden="false" customHeight="true" outlineLevel="0" collapsed="false">
      <c r="A52" s="142" t="s">
        <v>153</v>
      </c>
      <c r="B52" s="142"/>
      <c r="C52" s="142"/>
      <c r="D52" s="142"/>
      <c r="E52" s="100" t="n">
        <f aca="false">SUM(E49:E51)</f>
        <v>2276.3308445702</v>
      </c>
    </row>
    <row r="53" s="126" customFormat="true" ht="15.75" hidden="false" customHeight="true" outlineLevel="0" collapsed="false">
      <c r="A53" s="85" t="s">
        <v>154</v>
      </c>
      <c r="B53" s="85"/>
      <c r="C53" s="85"/>
      <c r="D53" s="85"/>
      <c r="E53" s="85"/>
    </row>
    <row r="54" s="126" customFormat="true" ht="30" hidden="false" customHeight="true" outlineLevel="0" collapsed="false">
      <c r="A54" s="116" t="s">
        <v>155</v>
      </c>
      <c r="B54" s="143" t="s">
        <v>156</v>
      </c>
      <c r="C54" s="144" t="s">
        <v>121</v>
      </c>
      <c r="D54" s="145"/>
      <c r="E54" s="120" t="s">
        <v>103</v>
      </c>
    </row>
    <row r="55" s="126" customFormat="true" ht="15.75" hidden="false" customHeight="true" outlineLevel="0" collapsed="false">
      <c r="A55" s="106" t="s">
        <v>91</v>
      </c>
      <c r="B55" s="107" t="s">
        <v>157</v>
      </c>
      <c r="C55" s="108" t="n">
        <f aca="false">E$23+E28</f>
        <v>2800.29997823333</v>
      </c>
      <c r="D55" s="109" t="n">
        <f aca="false">100%*(1/12)*5.55%</f>
        <v>0.004625</v>
      </c>
      <c r="E55" s="110" t="n">
        <f aca="false">C55*D55</f>
        <v>12.9513873993292</v>
      </c>
    </row>
    <row r="56" s="126" customFormat="true" ht="15.75" hidden="false" customHeight="true" outlineLevel="0" collapsed="false">
      <c r="A56" s="146" t="s">
        <v>93</v>
      </c>
      <c r="B56" s="147" t="s">
        <v>158</v>
      </c>
      <c r="C56" s="148" t="n">
        <f aca="false">E$23+E28</f>
        <v>2800.29997823333</v>
      </c>
      <c r="D56" s="95" t="n">
        <v>0.0004</v>
      </c>
      <c r="E56" s="94" t="n">
        <f aca="false">C56*D56</f>
        <v>1.12011999129333</v>
      </c>
    </row>
    <row r="57" s="126" customFormat="true" ht="15.75" hidden="false" customHeight="true" outlineLevel="0" collapsed="false">
      <c r="A57" s="106" t="s">
        <v>95</v>
      </c>
      <c r="B57" s="107" t="s">
        <v>159</v>
      </c>
      <c r="C57" s="108" t="n">
        <f aca="false">E$23+E28</f>
        <v>2800.29997823333</v>
      </c>
      <c r="D57" s="109" t="n">
        <v>0.0194</v>
      </c>
      <c r="E57" s="110" t="n">
        <f aca="false">C57*D57</f>
        <v>54.3258195777267</v>
      </c>
    </row>
    <row r="58" s="126" customFormat="true" ht="30" hidden="false" customHeight="true" outlineLevel="0" collapsed="false">
      <c r="A58" s="106" t="s">
        <v>115</v>
      </c>
      <c r="B58" s="149" t="s">
        <v>160</v>
      </c>
      <c r="C58" s="108" t="n">
        <f aca="false">E$23+E28</f>
        <v>2800.29997823333</v>
      </c>
      <c r="D58" s="109" t="n">
        <f aca="false">D39*D57</f>
        <v>0.0077212</v>
      </c>
      <c r="E58" s="110" t="n">
        <f aca="false">C58*D58</f>
        <v>21.6216761919352</v>
      </c>
    </row>
    <row r="59" s="126" customFormat="true" ht="32.25" hidden="false" customHeight="true" outlineLevel="0" collapsed="false">
      <c r="A59" s="106" t="s">
        <v>132</v>
      </c>
      <c r="B59" s="107" t="s">
        <v>161</v>
      </c>
      <c r="C59" s="108" t="n">
        <f aca="false">E$23+E28</f>
        <v>2800.29997823333</v>
      </c>
      <c r="D59" s="109" t="n">
        <v>0.04</v>
      </c>
      <c r="E59" s="110" t="n">
        <f aca="false">C59*D59</f>
        <v>112.011999129333</v>
      </c>
    </row>
    <row r="60" s="126" customFormat="true" ht="15.75" hidden="false" customHeight="true" outlineLevel="0" collapsed="false">
      <c r="A60" s="150" t="s">
        <v>162</v>
      </c>
      <c r="B60" s="150"/>
      <c r="C60" s="150"/>
      <c r="D60" s="151" t="n">
        <f aca="false">SUM(D55:D59)</f>
        <v>0.0721462</v>
      </c>
      <c r="E60" s="152" t="n">
        <f aca="false">SUM(E55:E59)</f>
        <v>202.031002289618</v>
      </c>
    </row>
    <row r="61" s="126" customFormat="true" ht="15.75" hidden="false" customHeight="true" outlineLevel="0" collapsed="false">
      <c r="A61" s="85" t="s">
        <v>163</v>
      </c>
      <c r="B61" s="85"/>
      <c r="C61" s="85"/>
      <c r="D61" s="85"/>
      <c r="E61" s="85"/>
    </row>
    <row r="62" s="126" customFormat="true" ht="23.85" hidden="false" customHeight="false" outlineLevel="0" collapsed="false">
      <c r="A62" s="116" t="s">
        <v>164</v>
      </c>
      <c r="B62" s="153" t="s">
        <v>165</v>
      </c>
      <c r="C62" s="144" t="s">
        <v>121</v>
      </c>
      <c r="D62" s="154"/>
      <c r="E62" s="120" t="s">
        <v>103</v>
      </c>
    </row>
    <row r="63" s="126" customFormat="true" ht="15.75" hidden="false" customHeight="false" outlineLevel="0" collapsed="false">
      <c r="A63" s="106" t="s">
        <v>91</v>
      </c>
      <c r="B63" s="107" t="s">
        <v>166</v>
      </c>
      <c r="C63" s="155" t="n">
        <f aca="false">E$23+E$52+E$60+E84</f>
        <v>4893.52980519316</v>
      </c>
      <c r="D63" s="109" t="n">
        <f aca="false">D27/12</f>
        <v>0.00925833333333333</v>
      </c>
      <c r="E63" s="110" t="n">
        <f aca="false">C63*D63</f>
        <v>45.3059301130799</v>
      </c>
    </row>
    <row r="64" s="126" customFormat="true" ht="15.75" hidden="false" customHeight="false" outlineLevel="0" collapsed="false">
      <c r="A64" s="106" t="s">
        <v>93</v>
      </c>
      <c r="B64" s="107" t="s">
        <v>167</v>
      </c>
      <c r="C64" s="155" t="n">
        <f aca="false">E$23+E$52+E$60+E84</f>
        <v>4893.52980519316</v>
      </c>
      <c r="D64" s="109" t="n">
        <v>0.0139</v>
      </c>
      <c r="E64" s="110" t="n">
        <f aca="false">C64*D64</f>
        <v>68.0200642921849</v>
      </c>
    </row>
    <row r="65" s="126" customFormat="true" ht="15.75" hidden="false" customHeight="false" outlineLevel="0" collapsed="false">
      <c r="A65" s="106" t="s">
        <v>95</v>
      </c>
      <c r="B65" s="107" t="s">
        <v>168</v>
      </c>
      <c r="C65" s="155" t="n">
        <f aca="false">E$23+E$52+E$60+E84</f>
        <v>4893.52980519316</v>
      </c>
      <c r="D65" s="109" t="n">
        <v>0.0013</v>
      </c>
      <c r="E65" s="110" t="n">
        <f aca="false">C65*D65</f>
        <v>6.3615887467511</v>
      </c>
    </row>
    <row r="66" s="126" customFormat="true" ht="15.75" hidden="false" customHeight="false" outlineLevel="0" collapsed="false">
      <c r="A66" s="106" t="s">
        <v>115</v>
      </c>
      <c r="B66" s="107" t="s">
        <v>169</v>
      </c>
      <c r="C66" s="155" t="n">
        <f aca="false">E$23+E$52+E$60+E84</f>
        <v>4893.52980519316</v>
      </c>
      <c r="D66" s="109" t="n">
        <v>0.0002</v>
      </c>
      <c r="E66" s="110" t="n">
        <f aca="false">C66*D66</f>
        <v>0.978705961038631</v>
      </c>
    </row>
    <row r="67" s="126" customFormat="true" ht="15.75" hidden="false" customHeight="false" outlineLevel="0" collapsed="false">
      <c r="A67" s="106" t="s">
        <v>132</v>
      </c>
      <c r="B67" s="107" t="s">
        <v>170</v>
      </c>
      <c r="C67" s="155" t="n">
        <f aca="false">E$23+E$52+E$60+E84</f>
        <v>4893.52980519316</v>
      </c>
      <c r="D67" s="109" t="n">
        <v>0.0028</v>
      </c>
      <c r="E67" s="110" t="n">
        <f aca="false">C67*D67</f>
        <v>13.7018834545408</v>
      </c>
    </row>
    <row r="68" s="126" customFormat="true" ht="15.75" hidden="false" customHeight="false" outlineLevel="0" collapsed="false">
      <c r="A68" s="106" t="s">
        <v>134</v>
      </c>
      <c r="B68" s="107" t="s">
        <v>171</v>
      </c>
      <c r="C68" s="155" t="n">
        <f aca="false">E$23+E$52+E$60+E84</f>
        <v>4893.52980519316</v>
      </c>
      <c r="D68" s="109" t="n">
        <v>0.0003</v>
      </c>
      <c r="E68" s="110" t="n">
        <f aca="false">C68*D68</f>
        <v>1.46805894155795</v>
      </c>
    </row>
    <row r="69" s="126" customFormat="true" ht="15.75" hidden="false" customHeight="false" outlineLevel="0" collapsed="false">
      <c r="A69" s="106" t="s">
        <v>136</v>
      </c>
      <c r="B69" s="156" t="s">
        <v>172</v>
      </c>
      <c r="C69" s="155" t="n">
        <f aca="false">E$23+E$52+E$60+E84</f>
        <v>4893.52980519316</v>
      </c>
      <c r="D69" s="109" t="n">
        <v>0</v>
      </c>
      <c r="E69" s="110" t="n">
        <f aca="false">C69*D69</f>
        <v>0</v>
      </c>
    </row>
    <row r="70" s="126" customFormat="true" ht="15.75" hidden="false" customHeight="true" outlineLevel="0" collapsed="false">
      <c r="A70" s="112" t="s">
        <v>173</v>
      </c>
      <c r="B70" s="112"/>
      <c r="C70" s="112"/>
      <c r="D70" s="157" t="n">
        <f aca="false">SUM(D63:D69)</f>
        <v>0.0277583333333333</v>
      </c>
      <c r="E70" s="114" t="n">
        <f aca="false">SUM(E63:E69)</f>
        <v>135.836231509153</v>
      </c>
    </row>
    <row r="71" s="126" customFormat="true" ht="15.75" hidden="false" customHeight="true" outlineLevel="0" collapsed="false">
      <c r="A71" s="127" t="s">
        <v>174</v>
      </c>
      <c r="B71" s="127"/>
      <c r="C71" s="127"/>
      <c r="D71" s="127"/>
      <c r="E71" s="127"/>
    </row>
    <row r="72" s="126" customFormat="true" ht="15.75" hidden="false" customHeight="false" outlineLevel="0" collapsed="false">
      <c r="A72" s="116"/>
      <c r="B72" s="117" t="s">
        <v>174</v>
      </c>
      <c r="C72" s="149"/>
      <c r="D72" s="149"/>
      <c r="E72" s="120" t="s">
        <v>103</v>
      </c>
    </row>
    <row r="73" s="126" customFormat="true" ht="15.75" hidden="false" customHeight="false" outlineLevel="0" collapsed="false">
      <c r="A73" s="146" t="s">
        <v>91</v>
      </c>
      <c r="B73" s="158" t="s">
        <v>175</v>
      </c>
      <c r="C73" s="83"/>
      <c r="D73" s="95"/>
      <c r="E73" s="94" t="n">
        <f aca="false">(8.2*1.5*1)*15.21</f>
        <v>187.083</v>
      </c>
    </row>
    <row r="74" s="126" customFormat="true" ht="15.75" hidden="false" customHeight="false" outlineLevel="0" collapsed="false">
      <c r="A74" s="146" t="s">
        <v>93</v>
      </c>
      <c r="B74" s="158" t="s">
        <v>176</v>
      </c>
      <c r="C74" s="83"/>
      <c r="D74" s="95" t="n">
        <f aca="false">D39</f>
        <v>0.398</v>
      </c>
      <c r="E74" s="94" t="n">
        <f aca="false">E73*D74</f>
        <v>74.459034</v>
      </c>
    </row>
    <row r="75" s="126" customFormat="true" ht="15.75" hidden="false" customHeight="true" outlineLevel="0" collapsed="false">
      <c r="A75" s="112" t="s">
        <v>177</v>
      </c>
      <c r="B75" s="112"/>
      <c r="C75" s="112"/>
      <c r="D75" s="113" t="n">
        <f aca="false">D74</f>
        <v>0.398</v>
      </c>
      <c r="E75" s="114" t="n">
        <f aca="false">SUM(E73:E74)</f>
        <v>261.542034</v>
      </c>
    </row>
    <row r="76" s="126" customFormat="true" ht="15.75" hidden="false" customHeight="true" outlineLevel="0" collapsed="false">
      <c r="A76" s="159" t="s">
        <v>178</v>
      </c>
      <c r="B76" s="159"/>
      <c r="C76" s="159"/>
      <c r="D76" s="159"/>
      <c r="E76" s="159"/>
    </row>
    <row r="77" s="126" customFormat="true" ht="15.75" hidden="false" customHeight="true" outlineLevel="0" collapsed="false">
      <c r="A77" s="116" t="n">
        <v>4</v>
      </c>
      <c r="B77" s="160" t="s">
        <v>179</v>
      </c>
      <c r="C77" s="161"/>
      <c r="D77" s="91"/>
      <c r="E77" s="120" t="s">
        <v>103</v>
      </c>
    </row>
    <row r="78" s="126" customFormat="true" ht="15.75" hidden="false" customHeight="true" outlineLevel="0" collapsed="false">
      <c r="A78" s="106" t="s">
        <v>164</v>
      </c>
      <c r="B78" s="107" t="s">
        <v>165</v>
      </c>
      <c r="C78" s="161"/>
      <c r="D78" s="109" t="n">
        <f aca="false">D70</f>
        <v>0.0277583333333333</v>
      </c>
      <c r="E78" s="110" t="n">
        <f aca="false">E70</f>
        <v>135.836231509153</v>
      </c>
    </row>
    <row r="79" s="126" customFormat="true" ht="15.75" hidden="false" customHeight="true" outlineLevel="0" collapsed="false">
      <c r="A79" s="106" t="s">
        <v>180</v>
      </c>
      <c r="B79" s="107" t="s">
        <v>174</v>
      </c>
      <c r="C79" s="161"/>
      <c r="D79" s="109"/>
      <c r="E79" s="110" t="n">
        <f aca="false">E75</f>
        <v>261.542034</v>
      </c>
    </row>
    <row r="80" s="126" customFormat="true" ht="15.75" hidden="false" customHeight="true" outlineLevel="0" collapsed="false">
      <c r="A80" s="112" t="s">
        <v>124</v>
      </c>
      <c r="B80" s="112"/>
      <c r="C80" s="112"/>
      <c r="D80" s="113" t="n">
        <f aca="false">SUM(D78:D79)</f>
        <v>0.0277583333333333</v>
      </c>
      <c r="E80" s="114" t="n">
        <f aca="false">SUM(E78:E79)</f>
        <v>397.378265509153</v>
      </c>
    </row>
    <row r="81" s="126" customFormat="true" ht="15.75" hidden="false" customHeight="true" outlineLevel="0" collapsed="false">
      <c r="A81" s="142" t="s">
        <v>181</v>
      </c>
      <c r="B81" s="142"/>
      <c r="C81" s="142"/>
      <c r="D81" s="142"/>
      <c r="E81" s="162" t="n">
        <f aca="false">SUM(E70+E75)</f>
        <v>397.378265509153</v>
      </c>
    </row>
    <row r="82" s="126" customFormat="true" ht="15.75" hidden="false" customHeight="true" outlineLevel="0" collapsed="false">
      <c r="A82" s="85" t="s">
        <v>182</v>
      </c>
      <c r="B82" s="85"/>
      <c r="C82" s="85"/>
      <c r="D82" s="85"/>
      <c r="E82" s="85"/>
    </row>
    <row r="83" s="126" customFormat="true" ht="15.75" hidden="false" customHeight="true" outlineLevel="0" collapsed="false">
      <c r="A83" s="116" t="n">
        <v>5</v>
      </c>
      <c r="B83" s="143" t="s">
        <v>183</v>
      </c>
      <c r="C83" s="149"/>
      <c r="D83" s="149"/>
      <c r="E83" s="120" t="s">
        <v>103</v>
      </c>
    </row>
    <row r="84" s="126" customFormat="true" ht="15.75" hidden="false" customHeight="true" outlineLevel="0" collapsed="false">
      <c r="A84" s="146" t="s">
        <v>91</v>
      </c>
      <c r="B84" s="147" t="s">
        <v>184</v>
      </c>
      <c r="C84" s="163"/>
      <c r="D84" s="164"/>
      <c r="E84" s="110" t="n">
        <f aca="false">Uniformes!H16</f>
        <v>70.7089583333333</v>
      </c>
    </row>
    <row r="85" s="126" customFormat="true" ht="15.75" hidden="false" customHeight="true" outlineLevel="0" collapsed="false">
      <c r="A85" s="146" t="s">
        <v>93</v>
      </c>
      <c r="B85" s="147" t="s">
        <v>185</v>
      </c>
      <c r="C85" s="163"/>
      <c r="D85" s="164"/>
      <c r="E85" s="110" t="n">
        <f aca="false">Insumos!H20</f>
        <v>276.2690625</v>
      </c>
    </row>
    <row r="86" s="126" customFormat="true" ht="15.75" hidden="false" customHeight="true" outlineLevel="0" collapsed="false">
      <c r="A86" s="146" t="s">
        <v>95</v>
      </c>
      <c r="B86" s="147" t="s">
        <v>186</v>
      </c>
      <c r="C86" s="163"/>
      <c r="D86" s="164"/>
      <c r="E86" s="110" t="n">
        <v>0</v>
      </c>
    </row>
    <row r="87" s="126" customFormat="true" ht="15.75" hidden="false" customHeight="true" outlineLevel="0" collapsed="false">
      <c r="A87" s="146" t="s">
        <v>115</v>
      </c>
      <c r="B87" s="147" t="s">
        <v>187</v>
      </c>
      <c r="C87" s="163"/>
      <c r="D87" s="164"/>
      <c r="E87" s="165" t="n">
        <v>39.8</v>
      </c>
    </row>
    <row r="88" s="126" customFormat="true" ht="15.75" hidden="false" customHeight="true" outlineLevel="0" collapsed="false">
      <c r="A88" s="99" t="s">
        <v>188</v>
      </c>
      <c r="B88" s="99"/>
      <c r="C88" s="99"/>
      <c r="D88" s="99"/>
      <c r="E88" s="100" t="n">
        <f aca="false">SUM(E84:E87)</f>
        <v>386.778020833333</v>
      </c>
    </row>
    <row r="89" s="126" customFormat="true" ht="23.25" hidden="false" customHeight="true" outlineLevel="0" collapsed="false">
      <c r="A89" s="101" t="s">
        <v>189</v>
      </c>
      <c r="B89" s="101"/>
      <c r="C89" s="101"/>
      <c r="D89" s="101"/>
      <c r="E89" s="166" t="n">
        <f aca="false">E88+E81+E60+E52+E23</f>
        <v>5606.97713320231</v>
      </c>
    </row>
    <row r="90" s="126" customFormat="true" ht="19.5" hidden="false" customHeight="true" outlineLevel="0" collapsed="false">
      <c r="A90" s="85" t="s">
        <v>190</v>
      </c>
      <c r="B90" s="85"/>
      <c r="C90" s="85"/>
      <c r="D90" s="85"/>
      <c r="E90" s="85"/>
    </row>
    <row r="91" s="126" customFormat="true" ht="23.85" hidden="false" customHeight="false" outlineLevel="0" collapsed="false">
      <c r="A91" s="116" t="n">
        <v>6</v>
      </c>
      <c r="B91" s="143" t="s">
        <v>191</v>
      </c>
      <c r="C91" s="118" t="s">
        <v>121</v>
      </c>
      <c r="D91" s="118"/>
      <c r="E91" s="120" t="s">
        <v>103</v>
      </c>
    </row>
    <row r="92" s="126" customFormat="true" ht="15.75" hidden="false" customHeight="false" outlineLevel="0" collapsed="false">
      <c r="A92" s="106" t="s">
        <v>91</v>
      </c>
      <c r="B92" s="107" t="s">
        <v>192</v>
      </c>
      <c r="C92" s="167" t="n">
        <f aca="false">E89</f>
        <v>5606.97713320231</v>
      </c>
      <c r="D92" s="109" t="n">
        <v>0.05</v>
      </c>
      <c r="E92" s="110" t="n">
        <f aca="false">C92*D92</f>
        <v>280.348856660115</v>
      </c>
    </row>
    <row r="93" s="126" customFormat="true" ht="15.75" hidden="false" customHeight="false" outlineLevel="0" collapsed="false">
      <c r="A93" s="106" t="s">
        <v>93</v>
      </c>
      <c r="B93" s="107" t="s">
        <v>193</v>
      </c>
      <c r="C93" s="167" t="n">
        <f aca="false">E89+E92</f>
        <v>5887.32598986242</v>
      </c>
      <c r="D93" s="109" t="n">
        <v>0.1</v>
      </c>
      <c r="E93" s="110" t="n">
        <f aca="false">D93*C93</f>
        <v>588.732598986242</v>
      </c>
    </row>
    <row r="94" s="126" customFormat="true" ht="30.75" hidden="false" customHeight="true" outlineLevel="0" collapsed="false">
      <c r="A94" s="106"/>
      <c r="B94" s="168" t="s">
        <v>194</v>
      </c>
      <c r="C94" s="107"/>
      <c r="D94" s="109" t="n">
        <f aca="false">1-D101</f>
        <v>0.9135</v>
      </c>
      <c r="E94" s="110" t="n">
        <f aca="false">+E89+E92+E93</f>
        <v>6476.05858884867</v>
      </c>
    </row>
    <row r="95" s="126" customFormat="true" ht="15.75" hidden="false" customHeight="false" outlineLevel="0" collapsed="false">
      <c r="A95" s="106"/>
      <c r="B95" s="169"/>
      <c r="C95" s="170"/>
      <c r="D95" s="45"/>
      <c r="E95" s="171" t="n">
        <f aca="false">+E94/D94</f>
        <v>7089.28143278453</v>
      </c>
    </row>
    <row r="96" s="126" customFormat="true" ht="15.75" hidden="false" customHeight="false" outlineLevel="0" collapsed="false">
      <c r="A96" s="106" t="s">
        <v>95</v>
      </c>
      <c r="B96" s="156" t="s">
        <v>195</v>
      </c>
      <c r="C96" s="170"/>
      <c r="D96" s="172" t="n">
        <f aca="false">D98+D99+D100</f>
        <v>0.0865</v>
      </c>
      <c r="E96" s="171"/>
    </row>
    <row r="97" s="126" customFormat="true" ht="15.75" hidden="false" customHeight="false" outlineLevel="0" collapsed="false">
      <c r="A97" s="106" t="s">
        <v>196</v>
      </c>
      <c r="B97" s="156" t="s">
        <v>197</v>
      </c>
      <c r="C97" s="156"/>
      <c r="D97" s="173" t="n">
        <f aca="false">D98+D99</f>
        <v>0.0365</v>
      </c>
      <c r="E97" s="110"/>
    </row>
    <row r="98" s="126" customFormat="true" ht="15.75" hidden="false" customHeight="false" outlineLevel="0" collapsed="false">
      <c r="A98" s="106" t="s">
        <v>198</v>
      </c>
      <c r="B98" s="107" t="s">
        <v>199</v>
      </c>
      <c r="C98" s="134" t="n">
        <f aca="false">E95</f>
        <v>7089.28143278453</v>
      </c>
      <c r="D98" s="109" t="n">
        <v>0.0065</v>
      </c>
      <c r="E98" s="110" t="n">
        <f aca="false">C98*D98</f>
        <v>46.0803293130994</v>
      </c>
    </row>
    <row r="99" s="126" customFormat="true" ht="15.75" hidden="false" customHeight="false" outlineLevel="0" collapsed="false">
      <c r="A99" s="106" t="s">
        <v>200</v>
      </c>
      <c r="B99" s="107" t="s">
        <v>201</v>
      </c>
      <c r="C99" s="134" t="n">
        <f aca="false">E95</f>
        <v>7089.28143278453</v>
      </c>
      <c r="D99" s="109" t="n">
        <v>0.03</v>
      </c>
      <c r="E99" s="110" t="n">
        <f aca="false">C99*D99</f>
        <v>212.678442983536</v>
      </c>
    </row>
    <row r="100" s="126" customFormat="true" ht="15.75" hidden="false" customHeight="false" outlineLevel="0" collapsed="false">
      <c r="A100" s="174" t="s">
        <v>202</v>
      </c>
      <c r="B100" s="175" t="s">
        <v>203</v>
      </c>
      <c r="C100" s="176" t="n">
        <f aca="false">E95</f>
        <v>7089.28143278453</v>
      </c>
      <c r="D100" s="177" t="n">
        <v>0.05</v>
      </c>
      <c r="E100" s="178" t="n">
        <f aca="false">C100*D100</f>
        <v>354.464071639226</v>
      </c>
    </row>
    <row r="101" s="126" customFormat="true" ht="15.75" hidden="false" customHeight="false" outlineLevel="0" collapsed="false">
      <c r="A101" s="179"/>
      <c r="B101" s="180" t="s">
        <v>204</v>
      </c>
      <c r="C101" s="180"/>
      <c r="D101" s="181" t="n">
        <f aca="false">D96</f>
        <v>0.0865</v>
      </c>
      <c r="E101" s="182" t="n">
        <f aca="false">SUM(E98:E100)</f>
        <v>613.222843935862</v>
      </c>
    </row>
    <row r="102" s="126" customFormat="true" ht="15.75" hidden="false" customHeight="true" outlineLevel="0" collapsed="false">
      <c r="A102" s="183" t="s">
        <v>205</v>
      </c>
      <c r="B102" s="183"/>
      <c r="C102" s="183"/>
      <c r="D102" s="183"/>
      <c r="E102" s="184" t="n">
        <f aca="false">+E92+E93+E101</f>
        <v>1482.30429958222</v>
      </c>
    </row>
    <row r="103" s="126" customFormat="true" ht="15.75" hidden="false" customHeight="true" outlineLevel="0" collapsed="false">
      <c r="A103" s="185" t="s">
        <v>206</v>
      </c>
      <c r="B103" s="185"/>
      <c r="C103" s="185"/>
      <c r="D103" s="185"/>
      <c r="E103" s="186" t="s">
        <v>103</v>
      </c>
    </row>
    <row r="104" s="126" customFormat="true" ht="15.75" hidden="false" customHeight="true" outlineLevel="0" collapsed="false">
      <c r="A104" s="106" t="s">
        <v>91</v>
      </c>
      <c r="B104" s="156" t="s">
        <v>207</v>
      </c>
      <c r="C104" s="156"/>
      <c r="D104" s="156"/>
      <c r="E104" s="110" t="n">
        <f aca="false">+E23</f>
        <v>2344.459</v>
      </c>
    </row>
    <row r="105" s="126" customFormat="true" ht="15.75" hidden="false" customHeight="true" outlineLevel="0" collapsed="false">
      <c r="A105" s="106" t="s">
        <v>93</v>
      </c>
      <c r="B105" s="156" t="s">
        <v>208</v>
      </c>
      <c r="C105" s="156"/>
      <c r="D105" s="156"/>
      <c r="E105" s="110" t="n">
        <f aca="false">+E52</f>
        <v>2276.3308445702</v>
      </c>
    </row>
    <row r="106" s="126" customFormat="true" ht="15.75" hidden="false" customHeight="true" outlineLevel="0" collapsed="false">
      <c r="A106" s="106" t="s">
        <v>95</v>
      </c>
      <c r="B106" s="156" t="s">
        <v>209</v>
      </c>
      <c r="C106" s="156"/>
      <c r="D106" s="156"/>
      <c r="E106" s="110" t="n">
        <f aca="false">E60</f>
        <v>202.031002289618</v>
      </c>
    </row>
    <row r="107" s="126" customFormat="true" ht="15.75" hidden="false" customHeight="true" outlineLevel="0" collapsed="false">
      <c r="A107" s="106" t="s">
        <v>115</v>
      </c>
      <c r="B107" s="156" t="s">
        <v>210</v>
      </c>
      <c r="C107" s="156"/>
      <c r="D107" s="156"/>
      <c r="E107" s="110" t="n">
        <f aca="false">E81</f>
        <v>397.378265509153</v>
      </c>
    </row>
    <row r="108" s="126" customFormat="true" ht="15.75" hidden="false" customHeight="true" outlineLevel="0" collapsed="false">
      <c r="A108" s="106" t="s">
        <v>132</v>
      </c>
      <c r="B108" s="156" t="s">
        <v>211</v>
      </c>
      <c r="C108" s="156"/>
      <c r="D108" s="156"/>
      <c r="E108" s="110" t="n">
        <f aca="false">E88</f>
        <v>386.778020833333</v>
      </c>
    </row>
    <row r="109" s="126" customFormat="true" ht="15.75" hidden="false" customHeight="true" outlineLevel="0" collapsed="false">
      <c r="A109" s="116" t="s">
        <v>212</v>
      </c>
      <c r="B109" s="116"/>
      <c r="C109" s="116"/>
      <c r="D109" s="116"/>
      <c r="E109" s="187" t="n">
        <f aca="false">SUM(E104:E108)</f>
        <v>5606.97713320231</v>
      </c>
    </row>
    <row r="110" s="126" customFormat="true" ht="15.75" hidden="false" customHeight="true" outlineLevel="0" collapsed="false">
      <c r="A110" s="106" t="s">
        <v>134</v>
      </c>
      <c r="B110" s="156" t="s">
        <v>213</v>
      </c>
      <c r="C110" s="156"/>
      <c r="D110" s="156"/>
      <c r="E110" s="110" t="n">
        <f aca="false">+E102</f>
        <v>1482.30429958222</v>
      </c>
    </row>
    <row r="111" s="126" customFormat="true" ht="16.5" hidden="false" customHeight="true" outlineLevel="0" collapsed="false">
      <c r="A111" s="188" t="s">
        <v>214</v>
      </c>
      <c r="B111" s="188"/>
      <c r="C111" s="188"/>
      <c r="D111" s="188"/>
      <c r="E111" s="189" t="n">
        <f aca="false">+E109+E110</f>
        <v>7089.28143278453</v>
      </c>
    </row>
    <row r="112" customFormat="false" ht="15.75" hidden="false" customHeight="false" outlineLevel="0" collapsed="false">
      <c r="A112" s="190"/>
      <c r="B112" s="190"/>
      <c r="C112" s="190"/>
      <c r="D112" s="190"/>
      <c r="E112" s="190"/>
    </row>
    <row r="113" customFormat="false" ht="16.5" hidden="false" customHeight="true" outlineLevel="0" collapsed="false">
      <c r="A113" s="191" t="s">
        <v>215</v>
      </c>
      <c r="B113" s="191"/>
      <c r="C113" s="191"/>
      <c r="D113" s="191"/>
      <c r="E113" s="192" t="n">
        <f aca="false">E111*2</f>
        <v>14178.5628655691</v>
      </c>
    </row>
    <row r="118" customFormat="false" ht="15.75" hidden="false" customHeight="false" outlineLevel="0" collapsed="false">
      <c r="B118" s="65"/>
      <c r="C118" s="65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8"/>
  <sheetViews>
    <sheetView showFormulas="false" showGridLines="true" showRowColHeaders="true" showZeros="true" rightToLeft="false" tabSelected="true" showOutlineSymbols="true" defaultGridColor="true" view="pageBreakPreview" topLeftCell="A19" colorId="64" zoomScale="100" zoomScaleNormal="115" zoomScalePageLayoutView="100" workbookViewId="0">
      <selection pane="topLeft" activeCell="G37" activeCellId="0" sqref="G37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1" width="8.71"/>
    <col collapsed="false" customWidth="true" hidden="false" outlineLevel="0" max="2" min="2" style="62" width="72.71"/>
    <col collapsed="false" customWidth="true" hidden="false" outlineLevel="0" max="3" min="3" style="62" width="15.71"/>
    <col collapsed="false" customWidth="true" hidden="false" outlineLevel="0" max="4" min="4" style="63" width="15.71"/>
    <col collapsed="false" customWidth="true" hidden="false" outlineLevel="0" max="5" min="5" style="64" width="15.71"/>
    <col collapsed="false" customWidth="false" hidden="false" outlineLevel="0" max="16384" min="6" style="65" width="9.14"/>
  </cols>
  <sheetData>
    <row r="1" customFormat="false" ht="15.75" hidden="false" customHeight="false" outlineLevel="0" collapsed="false">
      <c r="A1" s="66"/>
      <c r="B1" s="66"/>
      <c r="C1" s="66"/>
      <c r="D1" s="66"/>
      <c r="E1" s="66"/>
    </row>
    <row r="2" s="68" customFormat="true" ht="16.5" hidden="false" customHeight="true" outlineLevel="0" collapsed="false">
      <c r="A2" s="67"/>
      <c r="B2" s="67"/>
      <c r="C2" s="67"/>
      <c r="D2" s="67"/>
      <c r="E2" s="67"/>
    </row>
    <row r="3" s="68" customFormat="true" ht="15.75" hidden="false" customHeight="false" outlineLevel="0" collapsed="false">
      <c r="A3" s="69" t="s">
        <v>90</v>
      </c>
      <c r="B3" s="69"/>
      <c r="C3" s="69"/>
      <c r="D3" s="69"/>
      <c r="E3" s="69"/>
    </row>
    <row r="4" s="68" customFormat="true" ht="15" hidden="false" customHeight="true" outlineLevel="0" collapsed="false">
      <c r="A4" s="70" t="s">
        <v>91</v>
      </c>
      <c r="B4" s="71" t="s">
        <v>92</v>
      </c>
      <c r="C4" s="193" t="n">
        <v>2025</v>
      </c>
      <c r="D4" s="193"/>
      <c r="E4" s="193"/>
    </row>
    <row r="5" s="68" customFormat="true" ht="15" hidden="false" customHeight="true" outlineLevel="0" collapsed="false">
      <c r="A5" s="70" t="s">
        <v>93</v>
      </c>
      <c r="B5" s="71" t="s">
        <v>80</v>
      </c>
      <c r="C5" s="73" t="s">
        <v>94</v>
      </c>
      <c r="D5" s="73"/>
      <c r="E5" s="73"/>
    </row>
    <row r="6" s="68" customFormat="true" ht="15.75" hidden="false" customHeight="true" outlineLevel="0" collapsed="false">
      <c r="A6" s="70" t="s">
        <v>95</v>
      </c>
      <c r="B6" s="71" t="s">
        <v>96</v>
      </c>
      <c r="C6" s="74" t="s">
        <v>97</v>
      </c>
      <c r="D6" s="74"/>
      <c r="E6" s="74"/>
    </row>
    <row r="7" s="68" customFormat="true" ht="15.75" hidden="false" customHeight="false" outlineLevel="0" collapsed="false">
      <c r="A7" s="70"/>
      <c r="B7" s="71" t="s">
        <v>98</v>
      </c>
      <c r="C7" s="73" t="n">
        <v>12</v>
      </c>
      <c r="D7" s="73"/>
      <c r="E7" s="73"/>
    </row>
    <row r="8" s="68" customFormat="true" ht="15.75" hidden="false" customHeight="false" outlineLevel="0" collapsed="false">
      <c r="A8" s="75" t="s">
        <v>99</v>
      </c>
      <c r="B8" s="75"/>
      <c r="C8" s="75"/>
      <c r="D8" s="75"/>
      <c r="E8" s="75"/>
    </row>
    <row r="9" s="68" customFormat="true" ht="15.75" hidden="false" customHeight="false" outlineLevel="0" collapsed="false">
      <c r="A9" s="76" t="s">
        <v>100</v>
      </c>
      <c r="B9" s="76"/>
      <c r="C9" s="76"/>
      <c r="D9" s="76"/>
      <c r="E9" s="76"/>
    </row>
    <row r="10" s="68" customFormat="true" ht="15.75" hidden="false" customHeight="true" outlineLevel="0" collapsed="false">
      <c r="A10" s="77" t="s">
        <v>101</v>
      </c>
      <c r="B10" s="77"/>
      <c r="C10" s="77"/>
      <c r="D10" s="77"/>
      <c r="E10" s="77"/>
    </row>
    <row r="11" s="68" customFormat="true" ht="30" hidden="false" customHeight="true" outlineLevel="0" collapsed="false">
      <c r="A11" s="78" t="s">
        <v>102</v>
      </c>
      <c r="B11" s="78"/>
      <c r="C11" s="78"/>
      <c r="D11" s="78"/>
      <c r="E11" s="79" t="s">
        <v>103</v>
      </c>
    </row>
    <row r="12" s="68" customFormat="true" ht="15.75" hidden="false" customHeight="true" outlineLevel="0" collapsed="false">
      <c r="A12" s="70" t="n">
        <v>1</v>
      </c>
      <c r="B12" s="80" t="s">
        <v>104</v>
      </c>
      <c r="C12" s="81" t="s">
        <v>94</v>
      </c>
      <c r="D12" s="81"/>
      <c r="E12" s="81"/>
    </row>
    <row r="13" s="68" customFormat="true" ht="30" hidden="false" customHeight="true" outlineLevel="0" collapsed="false">
      <c r="A13" s="70" t="n">
        <v>2</v>
      </c>
      <c r="B13" s="80" t="s">
        <v>105</v>
      </c>
      <c r="C13" s="82" t="n">
        <v>1803.43</v>
      </c>
      <c r="D13" s="82"/>
      <c r="E13" s="82"/>
    </row>
    <row r="14" s="68" customFormat="true" ht="15.75" hidden="false" customHeight="true" outlineLevel="0" collapsed="false">
      <c r="A14" s="70" t="n">
        <v>3</v>
      </c>
      <c r="B14" s="80" t="s">
        <v>106</v>
      </c>
      <c r="C14" s="81" t="s">
        <v>216</v>
      </c>
      <c r="D14" s="81"/>
      <c r="E14" s="81"/>
    </row>
    <row r="15" s="68" customFormat="true" ht="15.75" hidden="false" customHeight="false" outlineLevel="0" collapsed="false">
      <c r="A15" s="70" t="n">
        <v>4</v>
      </c>
      <c r="B15" s="83" t="s">
        <v>108</v>
      </c>
      <c r="C15" s="84" t="n">
        <v>45805</v>
      </c>
      <c r="D15" s="84"/>
      <c r="E15" s="84"/>
    </row>
    <row r="16" s="86" customFormat="true" ht="15.75" hidden="false" customHeight="false" outlineLevel="0" collapsed="false">
      <c r="A16" s="85" t="s">
        <v>109</v>
      </c>
      <c r="B16" s="85"/>
      <c r="C16" s="85"/>
      <c r="D16" s="85"/>
      <c r="E16" s="85"/>
    </row>
    <row r="17" s="86" customFormat="true" ht="15.75" hidden="false" customHeight="true" outlineLevel="0" collapsed="false">
      <c r="A17" s="87" t="n">
        <v>1</v>
      </c>
      <c r="B17" s="88" t="s">
        <v>110</v>
      </c>
      <c r="C17" s="88"/>
      <c r="D17" s="88"/>
      <c r="E17" s="89" t="s">
        <v>103</v>
      </c>
    </row>
    <row r="18" s="68" customFormat="true" ht="15.75" hidden="false" customHeight="true" outlineLevel="0" collapsed="false">
      <c r="A18" s="90" t="s">
        <v>91</v>
      </c>
      <c r="B18" s="91" t="s">
        <v>111</v>
      </c>
      <c r="C18" s="91"/>
      <c r="D18" s="91"/>
      <c r="E18" s="94" t="n">
        <f aca="false">C13</f>
        <v>1803.43</v>
      </c>
    </row>
    <row r="19" s="68" customFormat="true" ht="15.75" hidden="false" customHeight="true" outlineLevel="0" collapsed="false">
      <c r="A19" s="90" t="s">
        <v>93</v>
      </c>
      <c r="B19" s="91" t="s">
        <v>112</v>
      </c>
      <c r="C19" s="95" t="n">
        <v>0</v>
      </c>
      <c r="D19" s="96" t="n">
        <v>1621</v>
      </c>
      <c r="E19" s="94" t="n">
        <v>0</v>
      </c>
    </row>
    <row r="20" customFormat="false" ht="15.75" hidden="false" customHeight="true" outlineLevel="0" collapsed="false">
      <c r="A20" s="194" t="s">
        <v>95</v>
      </c>
      <c r="B20" s="170" t="s">
        <v>113</v>
      </c>
      <c r="C20" s="109" t="n">
        <v>0.25</v>
      </c>
      <c r="D20" s="195" t="n">
        <v>15.21</v>
      </c>
      <c r="E20" s="110" t="n">
        <f aca="false">(2.05*8)*D20</f>
        <v>249.444</v>
      </c>
    </row>
    <row r="21" s="68" customFormat="true" ht="15.75" hidden="false" customHeight="true" outlineLevel="0" collapsed="false">
      <c r="A21" s="90"/>
      <c r="B21" s="196" t="s">
        <v>114</v>
      </c>
      <c r="C21" s="196"/>
      <c r="D21" s="196"/>
      <c r="E21" s="94" t="n">
        <f aca="false">SUM(E18:E20)</f>
        <v>2052.874</v>
      </c>
    </row>
    <row r="22" s="68" customFormat="true" ht="15.75" hidden="false" customHeight="true" outlineLevel="0" collapsed="false">
      <c r="A22" s="90" t="s">
        <v>115</v>
      </c>
      <c r="B22" s="91" t="s">
        <v>116</v>
      </c>
      <c r="C22" s="95" t="n">
        <v>0.3</v>
      </c>
      <c r="D22" s="96" t="n">
        <f aca="false">E18+E20</f>
        <v>2052.874</v>
      </c>
      <c r="E22" s="94" t="n">
        <f aca="false">D22*C22</f>
        <v>615.8622</v>
      </c>
    </row>
    <row r="23" s="86" customFormat="true" ht="15.75" hidden="false" customHeight="true" outlineLevel="0" collapsed="false">
      <c r="A23" s="99" t="s">
        <v>117</v>
      </c>
      <c r="B23" s="99"/>
      <c r="C23" s="99"/>
      <c r="D23" s="99"/>
      <c r="E23" s="100" t="n">
        <f aca="false">SUM(E21:E22)</f>
        <v>2668.7362</v>
      </c>
    </row>
    <row r="24" s="86" customFormat="true" ht="15.75" hidden="false" customHeight="false" outlineLevel="0" collapsed="false">
      <c r="A24" s="85" t="s">
        <v>118</v>
      </c>
      <c r="B24" s="85"/>
      <c r="C24" s="85"/>
      <c r="D24" s="85"/>
      <c r="E24" s="85"/>
    </row>
    <row r="25" s="68" customFormat="true" ht="23.85" hidden="false" customHeight="false" outlineLevel="0" collapsed="false">
      <c r="A25" s="101" t="s">
        <v>119</v>
      </c>
      <c r="B25" s="102" t="s">
        <v>120</v>
      </c>
      <c r="C25" s="103" t="s">
        <v>121</v>
      </c>
      <c r="D25" s="104"/>
      <c r="E25" s="105" t="s">
        <v>103</v>
      </c>
    </row>
    <row r="26" s="68" customFormat="true" ht="15.75" hidden="false" customHeight="false" outlineLevel="0" collapsed="false">
      <c r="A26" s="106" t="s">
        <v>91</v>
      </c>
      <c r="B26" s="107" t="s">
        <v>122</v>
      </c>
      <c r="C26" s="108" t="n">
        <f aca="false">E23</f>
        <v>2668.7362</v>
      </c>
      <c r="D26" s="109" t="n">
        <f aca="false">1/12</f>
        <v>0.0833333333333333</v>
      </c>
      <c r="E26" s="110" t="n">
        <f aca="false">(C26)*D26</f>
        <v>222.394683333333</v>
      </c>
    </row>
    <row r="27" s="68" customFormat="true" ht="15.75" hidden="false" customHeight="false" outlineLevel="0" collapsed="false">
      <c r="A27" s="106" t="s">
        <v>93</v>
      </c>
      <c r="B27" s="111" t="s">
        <v>217</v>
      </c>
      <c r="C27" s="108" t="n">
        <f aca="false">E23</f>
        <v>2668.7362</v>
      </c>
      <c r="D27" s="109" t="n">
        <v>0.1111</v>
      </c>
      <c r="E27" s="110" t="n">
        <f aca="false">(C27)*D27</f>
        <v>296.49659182</v>
      </c>
    </row>
    <row r="28" customFormat="false" ht="15.75" hidden="false" customHeight="true" outlineLevel="0" collapsed="false">
      <c r="A28" s="112" t="s">
        <v>124</v>
      </c>
      <c r="B28" s="112"/>
      <c r="C28" s="112"/>
      <c r="D28" s="113" t="n">
        <f aca="false">SUM(D26:D27)</f>
        <v>0.194433333333333</v>
      </c>
      <c r="E28" s="114" t="n">
        <f aca="false">SUM(E26:E27)</f>
        <v>518.891275153333</v>
      </c>
    </row>
    <row r="29" customFormat="false" ht="30" hidden="false" customHeight="true" outlineLevel="0" collapsed="false">
      <c r="A29" s="115" t="s">
        <v>125</v>
      </c>
      <c r="B29" s="115"/>
      <c r="C29" s="115"/>
      <c r="D29" s="115"/>
      <c r="E29" s="115"/>
    </row>
    <row r="30" customFormat="false" ht="23.85" hidden="false" customHeight="false" outlineLevel="0" collapsed="false">
      <c r="A30" s="116" t="s">
        <v>126</v>
      </c>
      <c r="B30" s="117" t="s">
        <v>127</v>
      </c>
      <c r="C30" s="118" t="s">
        <v>121</v>
      </c>
      <c r="D30" s="119"/>
      <c r="E30" s="120" t="s">
        <v>103</v>
      </c>
    </row>
    <row r="31" customFormat="false" ht="15.75" hidden="false" customHeight="false" outlineLevel="0" collapsed="false">
      <c r="A31" s="106" t="s">
        <v>91</v>
      </c>
      <c r="B31" s="121" t="s">
        <v>128</v>
      </c>
      <c r="C31" s="108" t="n">
        <f aca="false">E$23+E$28</f>
        <v>3187.62747515333</v>
      </c>
      <c r="D31" s="109" t="n">
        <v>0.2</v>
      </c>
      <c r="E31" s="110" t="n">
        <f aca="false">C31*D31</f>
        <v>637.525495030667</v>
      </c>
    </row>
    <row r="32" customFormat="false" ht="15.75" hidden="false" customHeight="false" outlineLevel="0" collapsed="false">
      <c r="A32" s="106" t="s">
        <v>93</v>
      </c>
      <c r="B32" s="121" t="s">
        <v>129</v>
      </c>
      <c r="C32" s="108" t="n">
        <f aca="false">E$23+E$28</f>
        <v>3187.62747515333</v>
      </c>
      <c r="D32" s="122" t="n">
        <v>0.025</v>
      </c>
      <c r="E32" s="110" t="n">
        <f aca="false">C32*D32</f>
        <v>79.6906868788334</v>
      </c>
    </row>
    <row r="33" customFormat="false" ht="35.05" hidden="false" customHeight="false" outlineLevel="0" collapsed="false">
      <c r="A33" s="106" t="s">
        <v>95</v>
      </c>
      <c r="B33" s="123" t="s">
        <v>130</v>
      </c>
      <c r="C33" s="108" t="n">
        <f aca="false">E$23+E$28</f>
        <v>3187.62747515333</v>
      </c>
      <c r="D33" s="122" t="n">
        <v>0.06</v>
      </c>
      <c r="E33" s="110" t="n">
        <f aca="false">C33*D33</f>
        <v>191.2576485092</v>
      </c>
    </row>
    <row r="34" customFormat="false" ht="15.75" hidden="false" customHeight="false" outlineLevel="0" collapsed="false">
      <c r="A34" s="106" t="s">
        <v>115</v>
      </c>
      <c r="B34" s="121" t="s">
        <v>131</v>
      </c>
      <c r="C34" s="108" t="n">
        <f aca="false">E$23+E$28</f>
        <v>3187.62747515333</v>
      </c>
      <c r="D34" s="122" t="n">
        <v>0.015</v>
      </c>
      <c r="E34" s="110" t="n">
        <f aca="false">C34*D34</f>
        <v>47.8144121273</v>
      </c>
    </row>
    <row r="35" customFormat="false" ht="15.75" hidden="false" customHeight="false" outlineLevel="0" collapsed="false">
      <c r="A35" s="106" t="s">
        <v>132</v>
      </c>
      <c r="B35" s="121" t="s">
        <v>133</v>
      </c>
      <c r="C35" s="108" t="n">
        <f aca="false">E$23+E$28</f>
        <v>3187.62747515333</v>
      </c>
      <c r="D35" s="122" t="n">
        <v>0.01</v>
      </c>
      <c r="E35" s="110" t="n">
        <f aca="false">C35*D35</f>
        <v>31.8762747515333</v>
      </c>
    </row>
    <row r="36" customFormat="false" ht="15.75" hidden="false" customHeight="false" outlineLevel="0" collapsed="false">
      <c r="A36" s="106" t="s">
        <v>134</v>
      </c>
      <c r="B36" s="124" t="s">
        <v>135</v>
      </c>
      <c r="C36" s="108" t="n">
        <f aca="false">E$23+E$28</f>
        <v>3187.62747515333</v>
      </c>
      <c r="D36" s="122" t="n">
        <v>0.006</v>
      </c>
      <c r="E36" s="110" t="n">
        <f aca="false">C36*D36</f>
        <v>19.12576485092</v>
      </c>
    </row>
    <row r="37" customFormat="false" ht="15.75" hidden="false" customHeight="false" outlineLevel="0" collapsed="false">
      <c r="A37" s="106" t="s">
        <v>136</v>
      </c>
      <c r="B37" s="123" t="s">
        <v>137</v>
      </c>
      <c r="C37" s="108" t="n">
        <f aca="false">E$23+E$28</f>
        <v>3187.62747515333</v>
      </c>
      <c r="D37" s="122" t="n">
        <v>0.002</v>
      </c>
      <c r="E37" s="110" t="n">
        <f aca="false">C37*D37</f>
        <v>6.37525495030667</v>
      </c>
    </row>
    <row r="38" customFormat="false" ht="15.75" hidden="false" customHeight="false" outlineLevel="0" collapsed="false">
      <c r="A38" s="106" t="s">
        <v>138</v>
      </c>
      <c r="B38" s="121" t="s">
        <v>139</v>
      </c>
      <c r="C38" s="108" t="n">
        <f aca="false">E$23+E$28</f>
        <v>3187.62747515333</v>
      </c>
      <c r="D38" s="122" t="n">
        <v>0.08</v>
      </c>
      <c r="E38" s="110" t="n">
        <f aca="false">C38*D38</f>
        <v>255.010198012267</v>
      </c>
    </row>
    <row r="39" s="126" customFormat="true" ht="15.75" hidden="false" customHeight="true" outlineLevel="0" collapsed="false">
      <c r="A39" s="112" t="s">
        <v>124</v>
      </c>
      <c r="B39" s="112"/>
      <c r="C39" s="112"/>
      <c r="D39" s="125" t="n">
        <f aca="false">SUM(D31:D38)</f>
        <v>0.398</v>
      </c>
      <c r="E39" s="114" t="n">
        <f aca="false">SUM(E31:E38)</f>
        <v>1268.67573511103</v>
      </c>
    </row>
    <row r="40" s="126" customFormat="true" ht="15.75" hidden="false" customHeight="false" outlineLevel="0" collapsed="false">
      <c r="A40" s="127" t="s">
        <v>140</v>
      </c>
      <c r="B40" s="127"/>
      <c r="C40" s="127"/>
      <c r="D40" s="127"/>
      <c r="E40" s="127"/>
    </row>
    <row r="41" s="126" customFormat="true" ht="23.85" hidden="false" customHeight="false" outlineLevel="0" collapsed="false">
      <c r="A41" s="128" t="s">
        <v>141</v>
      </c>
      <c r="B41" s="129" t="s">
        <v>142</v>
      </c>
      <c r="C41" s="103" t="s">
        <v>121</v>
      </c>
      <c r="D41" s="104"/>
      <c r="E41" s="105" t="s">
        <v>103</v>
      </c>
    </row>
    <row r="42" s="126" customFormat="true" ht="15.75" hidden="false" customHeight="false" outlineLevel="0" collapsed="false">
      <c r="A42" s="130" t="s">
        <v>91</v>
      </c>
      <c r="B42" s="131" t="s">
        <v>143</v>
      </c>
      <c r="C42" s="132" t="n">
        <v>3</v>
      </c>
      <c r="D42" s="131"/>
      <c r="E42" s="133" t="n">
        <v>0</v>
      </c>
    </row>
    <row r="43" s="126" customFormat="true" ht="15.75" hidden="false" customHeight="false" outlineLevel="0" collapsed="false">
      <c r="A43" s="106" t="s">
        <v>93</v>
      </c>
      <c r="B43" s="107" t="s">
        <v>144</v>
      </c>
      <c r="C43" s="134" t="n">
        <v>44</v>
      </c>
      <c r="D43" s="135"/>
      <c r="E43" s="110" t="n">
        <f aca="false">(C43*15.21)-((C43*15.21)*1%)</f>
        <v>662.5476</v>
      </c>
    </row>
    <row r="44" s="126" customFormat="true" ht="15.75" hidden="false" customHeight="true" outlineLevel="0" collapsed="false">
      <c r="A44" s="106" t="s">
        <v>95</v>
      </c>
      <c r="B44" s="107" t="s">
        <v>145</v>
      </c>
      <c r="C44" s="136" t="n">
        <f aca="false">C13*(16% -1%)</f>
        <v>270.5145</v>
      </c>
      <c r="D44" s="135"/>
      <c r="E44" s="110" t="n">
        <f aca="false">C44/12</f>
        <v>22.542875</v>
      </c>
    </row>
    <row r="45" s="126" customFormat="true" ht="15.75" hidden="false" customHeight="true" outlineLevel="0" collapsed="false">
      <c r="A45" s="106" t="s">
        <v>115</v>
      </c>
      <c r="B45" s="137" t="s">
        <v>146</v>
      </c>
      <c r="C45" s="134" t="n">
        <v>15.06</v>
      </c>
      <c r="D45" s="135"/>
      <c r="E45" s="110" t="n">
        <f aca="false">C45</f>
        <v>15.06</v>
      </c>
    </row>
    <row r="46" s="126" customFormat="true" ht="15.75" hidden="false" customHeight="false" outlineLevel="0" collapsed="false">
      <c r="A46" s="146" t="s">
        <v>132</v>
      </c>
      <c r="B46" s="147" t="s">
        <v>147</v>
      </c>
      <c r="C46" s="197"/>
      <c r="D46" s="198"/>
      <c r="E46" s="138" t="n">
        <v>5.82</v>
      </c>
    </row>
    <row r="47" s="126" customFormat="true" ht="15.75" hidden="false" customHeight="true" outlineLevel="0" collapsed="false">
      <c r="A47" s="112" t="s">
        <v>148</v>
      </c>
      <c r="B47" s="112"/>
      <c r="C47" s="112"/>
      <c r="D47" s="112"/>
      <c r="E47" s="114" t="n">
        <f aca="false">SUM(E42:E46)</f>
        <v>705.970475</v>
      </c>
    </row>
    <row r="48" s="126" customFormat="true" ht="15.75" hidden="false" customHeight="true" outlineLevel="0" collapsed="false">
      <c r="A48" s="127" t="s">
        <v>149</v>
      </c>
      <c r="B48" s="127"/>
      <c r="C48" s="127"/>
      <c r="D48" s="127"/>
      <c r="E48" s="127"/>
    </row>
    <row r="49" s="126" customFormat="true" ht="15.75" hidden="false" customHeight="true" outlineLevel="0" collapsed="false">
      <c r="A49" s="78" t="s">
        <v>119</v>
      </c>
      <c r="B49" s="139" t="s">
        <v>150</v>
      </c>
      <c r="C49" s="140"/>
      <c r="D49" s="140"/>
      <c r="E49" s="141" t="n">
        <f aca="false">E28</f>
        <v>518.891275153333</v>
      </c>
    </row>
    <row r="50" s="126" customFormat="true" ht="15.75" hidden="false" customHeight="true" outlineLevel="0" collapsed="false">
      <c r="A50" s="78" t="s">
        <v>126</v>
      </c>
      <c r="B50" s="139" t="s">
        <v>151</v>
      </c>
      <c r="C50" s="140"/>
      <c r="D50" s="140"/>
      <c r="E50" s="141" t="n">
        <f aca="false">E39</f>
        <v>1268.67573511103</v>
      </c>
    </row>
    <row r="51" s="126" customFormat="true" ht="15.75" hidden="false" customHeight="true" outlineLevel="0" collapsed="false">
      <c r="A51" s="78" t="s">
        <v>141</v>
      </c>
      <c r="B51" s="139" t="s">
        <v>152</v>
      </c>
      <c r="C51" s="140"/>
      <c r="D51" s="140"/>
      <c r="E51" s="141" t="n">
        <f aca="false">E47</f>
        <v>705.970475</v>
      </c>
    </row>
    <row r="52" s="126" customFormat="true" ht="15.75" hidden="false" customHeight="true" outlineLevel="0" collapsed="false">
      <c r="A52" s="142" t="s">
        <v>153</v>
      </c>
      <c r="B52" s="142"/>
      <c r="C52" s="142"/>
      <c r="D52" s="142"/>
      <c r="E52" s="100" t="n">
        <f aca="false">SUM(E49:E51)</f>
        <v>2493.53748526436</v>
      </c>
    </row>
    <row r="53" s="126" customFormat="true" ht="15.75" hidden="false" customHeight="true" outlineLevel="0" collapsed="false">
      <c r="A53" s="85" t="s">
        <v>154</v>
      </c>
      <c r="B53" s="85"/>
      <c r="C53" s="85"/>
      <c r="D53" s="85"/>
      <c r="E53" s="85"/>
    </row>
    <row r="54" s="126" customFormat="true" ht="30" hidden="false" customHeight="true" outlineLevel="0" collapsed="false">
      <c r="A54" s="78" t="s">
        <v>155</v>
      </c>
      <c r="B54" s="160" t="s">
        <v>156</v>
      </c>
      <c r="C54" s="199" t="s">
        <v>121</v>
      </c>
      <c r="D54" s="93"/>
      <c r="E54" s="89" t="s">
        <v>103</v>
      </c>
    </row>
    <row r="55" s="126" customFormat="true" ht="15.75" hidden="false" customHeight="true" outlineLevel="0" collapsed="false">
      <c r="A55" s="146" t="s">
        <v>91</v>
      </c>
      <c r="B55" s="147" t="s">
        <v>157</v>
      </c>
      <c r="C55" s="148" t="n">
        <f aca="false">E$23+E28</f>
        <v>3187.62747515333</v>
      </c>
      <c r="D55" s="109" t="n">
        <f aca="false">100%*(1/12)*5.55%</f>
        <v>0.004625</v>
      </c>
      <c r="E55" s="94" t="n">
        <f aca="false">C55*D55</f>
        <v>14.7427770725842</v>
      </c>
    </row>
    <row r="56" s="126" customFormat="true" ht="15.75" hidden="false" customHeight="true" outlineLevel="0" collapsed="false">
      <c r="A56" s="146" t="s">
        <v>93</v>
      </c>
      <c r="B56" s="147" t="s">
        <v>158</v>
      </c>
      <c r="C56" s="148" t="n">
        <f aca="false">E$23+E28</f>
        <v>3187.62747515333</v>
      </c>
      <c r="D56" s="95" t="n">
        <v>0.0004</v>
      </c>
      <c r="E56" s="94" t="n">
        <f aca="false">C56*D56</f>
        <v>1.27505099006133</v>
      </c>
    </row>
    <row r="57" s="126" customFormat="true" ht="15.75" hidden="false" customHeight="true" outlineLevel="0" collapsed="false">
      <c r="A57" s="146" t="s">
        <v>95</v>
      </c>
      <c r="B57" s="147" t="s">
        <v>159</v>
      </c>
      <c r="C57" s="148" t="n">
        <f aca="false">E$23+E28</f>
        <v>3187.62747515333</v>
      </c>
      <c r="D57" s="109" t="n">
        <v>0.0194</v>
      </c>
      <c r="E57" s="94" t="n">
        <f aca="false">C57*D57</f>
        <v>61.8399730179747</v>
      </c>
    </row>
    <row r="58" s="126" customFormat="true" ht="30" hidden="false" customHeight="true" outlineLevel="0" collapsed="false">
      <c r="A58" s="146" t="s">
        <v>115</v>
      </c>
      <c r="B58" s="200" t="s">
        <v>160</v>
      </c>
      <c r="C58" s="148" t="n">
        <f aca="false">E$23+E28</f>
        <v>3187.62747515333</v>
      </c>
      <c r="D58" s="109" t="n">
        <f aca="false">D39*D57</f>
        <v>0.0077212</v>
      </c>
      <c r="E58" s="94" t="n">
        <f aca="false">C58*D58</f>
        <v>24.6123092611539</v>
      </c>
    </row>
    <row r="59" s="126" customFormat="true" ht="32.25" hidden="false" customHeight="true" outlineLevel="0" collapsed="false">
      <c r="A59" s="146" t="s">
        <v>132</v>
      </c>
      <c r="B59" s="147" t="s">
        <v>161</v>
      </c>
      <c r="C59" s="148" t="n">
        <f aca="false">E$23+E28</f>
        <v>3187.62747515333</v>
      </c>
      <c r="D59" s="109" t="n">
        <v>0.04</v>
      </c>
      <c r="E59" s="94" t="n">
        <f aca="false">C59*D59</f>
        <v>127.505099006133</v>
      </c>
    </row>
    <row r="60" s="126" customFormat="true" ht="15.75" hidden="false" customHeight="true" outlineLevel="0" collapsed="false">
      <c r="A60" s="150" t="s">
        <v>162</v>
      </c>
      <c r="B60" s="150"/>
      <c r="C60" s="150"/>
      <c r="D60" s="151" t="n">
        <f aca="false">SUM(D55:D59)</f>
        <v>0.0721462</v>
      </c>
      <c r="E60" s="152" t="n">
        <f aca="false">SUM(E55:E59)</f>
        <v>229.975209347907</v>
      </c>
    </row>
    <row r="61" s="126" customFormat="true" ht="15.75" hidden="false" customHeight="true" outlineLevel="0" collapsed="false">
      <c r="A61" s="85" t="s">
        <v>163</v>
      </c>
      <c r="B61" s="85"/>
      <c r="C61" s="85"/>
      <c r="D61" s="85"/>
      <c r="E61" s="85"/>
    </row>
    <row r="62" s="126" customFormat="true" ht="23.85" hidden="false" customHeight="false" outlineLevel="0" collapsed="false">
      <c r="A62" s="116" t="s">
        <v>164</v>
      </c>
      <c r="B62" s="153" t="s">
        <v>165</v>
      </c>
      <c r="C62" s="144" t="s">
        <v>121</v>
      </c>
      <c r="D62" s="154"/>
      <c r="E62" s="120" t="s">
        <v>103</v>
      </c>
    </row>
    <row r="63" s="126" customFormat="true" ht="15.75" hidden="false" customHeight="false" outlineLevel="0" collapsed="false">
      <c r="A63" s="106" t="s">
        <v>91</v>
      </c>
      <c r="B63" s="107" t="s">
        <v>166</v>
      </c>
      <c r="C63" s="155" t="n">
        <f aca="false">E$23+E$52+E$60+E84</f>
        <v>5462.9578529456</v>
      </c>
      <c r="D63" s="109" t="n">
        <f aca="false">D27/12</f>
        <v>0.00925833333333333</v>
      </c>
      <c r="E63" s="110" t="n">
        <f aca="false">C63*D63</f>
        <v>50.5778847885214</v>
      </c>
    </row>
    <row r="64" s="126" customFormat="true" ht="15.75" hidden="false" customHeight="false" outlineLevel="0" collapsed="false">
      <c r="A64" s="106" t="s">
        <v>93</v>
      </c>
      <c r="B64" s="107" t="s">
        <v>167</v>
      </c>
      <c r="C64" s="155" t="n">
        <f aca="false">E$23+E$52+E$60+E84</f>
        <v>5462.9578529456</v>
      </c>
      <c r="D64" s="109" t="n">
        <v>0.0139</v>
      </c>
      <c r="E64" s="110" t="n">
        <f aca="false">C64*D64</f>
        <v>75.9351141559439</v>
      </c>
    </row>
    <row r="65" s="126" customFormat="true" ht="15.75" hidden="false" customHeight="false" outlineLevel="0" collapsed="false">
      <c r="A65" s="106" t="s">
        <v>95</v>
      </c>
      <c r="B65" s="107" t="s">
        <v>168</v>
      </c>
      <c r="C65" s="155" t="n">
        <f aca="false">E$23+E$52+E$60+E84</f>
        <v>5462.9578529456</v>
      </c>
      <c r="D65" s="109" t="n">
        <v>0.0013</v>
      </c>
      <c r="E65" s="110" t="n">
        <f aca="false">C65*D65</f>
        <v>7.10184520882928</v>
      </c>
    </row>
    <row r="66" s="126" customFormat="true" ht="15.75" hidden="false" customHeight="false" outlineLevel="0" collapsed="false">
      <c r="A66" s="106" t="s">
        <v>115</v>
      </c>
      <c r="B66" s="107" t="s">
        <v>169</v>
      </c>
      <c r="C66" s="155" t="n">
        <f aca="false">E$23+E$52+E$60+E84</f>
        <v>5462.9578529456</v>
      </c>
      <c r="D66" s="109" t="n">
        <v>0.0002</v>
      </c>
      <c r="E66" s="110" t="n">
        <f aca="false">C66*D66</f>
        <v>1.09259157058912</v>
      </c>
    </row>
    <row r="67" s="126" customFormat="true" ht="15.75" hidden="false" customHeight="false" outlineLevel="0" collapsed="false">
      <c r="A67" s="106" t="s">
        <v>132</v>
      </c>
      <c r="B67" s="107" t="s">
        <v>170</v>
      </c>
      <c r="C67" s="155" t="n">
        <f aca="false">E$23+E$52+E$60+E84</f>
        <v>5462.9578529456</v>
      </c>
      <c r="D67" s="109" t="n">
        <v>0.0028</v>
      </c>
      <c r="E67" s="110" t="n">
        <f aca="false">C67*D67</f>
        <v>15.2962819882477</v>
      </c>
    </row>
    <row r="68" s="126" customFormat="true" ht="15.75" hidden="false" customHeight="false" outlineLevel="0" collapsed="false">
      <c r="A68" s="106" t="s">
        <v>134</v>
      </c>
      <c r="B68" s="107" t="s">
        <v>171</v>
      </c>
      <c r="C68" s="155" t="n">
        <f aca="false">E$23+E$52+E$60+E84</f>
        <v>5462.9578529456</v>
      </c>
      <c r="D68" s="109" t="n">
        <v>0.0003</v>
      </c>
      <c r="E68" s="110" t="n">
        <f aca="false">C68*D68</f>
        <v>1.63888735588368</v>
      </c>
    </row>
    <row r="69" s="126" customFormat="true" ht="15.75" hidden="false" customHeight="false" outlineLevel="0" collapsed="false">
      <c r="A69" s="106" t="s">
        <v>136</v>
      </c>
      <c r="B69" s="156" t="s">
        <v>172</v>
      </c>
      <c r="C69" s="155" t="n">
        <f aca="false">E$23+E$52+E$60+E84</f>
        <v>5462.9578529456</v>
      </c>
      <c r="D69" s="109" t="n">
        <v>0</v>
      </c>
      <c r="E69" s="110" t="n">
        <f aca="false">C69*D69</f>
        <v>0</v>
      </c>
    </row>
    <row r="70" s="126" customFormat="true" ht="15.75" hidden="false" customHeight="true" outlineLevel="0" collapsed="false">
      <c r="A70" s="112" t="s">
        <v>173</v>
      </c>
      <c r="B70" s="112"/>
      <c r="C70" s="112"/>
      <c r="D70" s="157" t="n">
        <f aca="false">SUM(D63:D69)</f>
        <v>0.0277583333333333</v>
      </c>
      <c r="E70" s="114" t="n">
        <f aca="false">SUM(E63:E69)</f>
        <v>151.642605068015</v>
      </c>
    </row>
    <row r="71" s="126" customFormat="true" ht="15.75" hidden="false" customHeight="true" outlineLevel="0" collapsed="false">
      <c r="A71" s="127" t="s">
        <v>174</v>
      </c>
      <c r="B71" s="127"/>
      <c r="C71" s="127"/>
      <c r="D71" s="127"/>
      <c r="E71" s="127"/>
    </row>
    <row r="72" s="126" customFormat="true" ht="15.75" hidden="false" customHeight="false" outlineLevel="0" collapsed="false">
      <c r="A72" s="87"/>
      <c r="B72" s="201" t="s">
        <v>174</v>
      </c>
      <c r="C72" s="91"/>
      <c r="D72" s="91"/>
      <c r="E72" s="89" t="s">
        <v>103</v>
      </c>
    </row>
    <row r="73" s="126" customFormat="true" ht="15.75" hidden="false" customHeight="false" outlineLevel="0" collapsed="false">
      <c r="A73" s="146" t="s">
        <v>91</v>
      </c>
      <c r="B73" s="158" t="s">
        <v>175</v>
      </c>
      <c r="C73" s="83"/>
      <c r="D73" s="95"/>
      <c r="E73" s="94" t="n">
        <f aca="false">(8.2*1.5*1)*15.21</f>
        <v>187.083</v>
      </c>
    </row>
    <row r="74" s="126" customFormat="true" ht="15.75" hidden="false" customHeight="true" outlineLevel="0" collapsed="false">
      <c r="A74" s="146" t="s">
        <v>93</v>
      </c>
      <c r="B74" s="158" t="s">
        <v>176</v>
      </c>
      <c r="C74" s="83"/>
      <c r="D74" s="95" t="n">
        <f aca="false">D39</f>
        <v>0.398</v>
      </c>
      <c r="E74" s="94" t="n">
        <f aca="false">E73*D74</f>
        <v>74.459034</v>
      </c>
    </row>
    <row r="75" s="126" customFormat="true" ht="15.75" hidden="false" customHeight="true" outlineLevel="0" collapsed="false">
      <c r="A75" s="112" t="s">
        <v>177</v>
      </c>
      <c r="B75" s="112"/>
      <c r="C75" s="112"/>
      <c r="D75" s="113" t="n">
        <f aca="false">SUM(D74)</f>
        <v>0.398</v>
      </c>
      <c r="E75" s="114" t="n">
        <f aca="false">SUM(E73:E74)</f>
        <v>261.542034</v>
      </c>
    </row>
    <row r="76" s="126" customFormat="true" ht="15.75" hidden="false" customHeight="true" outlineLevel="0" collapsed="false">
      <c r="A76" s="159" t="s">
        <v>178</v>
      </c>
      <c r="B76" s="159"/>
      <c r="C76" s="159"/>
      <c r="D76" s="159"/>
      <c r="E76" s="159"/>
    </row>
    <row r="77" s="126" customFormat="true" ht="15.75" hidden="false" customHeight="true" outlineLevel="0" collapsed="false">
      <c r="A77" s="116" t="n">
        <v>4</v>
      </c>
      <c r="B77" s="160" t="s">
        <v>179</v>
      </c>
      <c r="C77" s="161"/>
      <c r="D77" s="91"/>
      <c r="E77" s="120" t="s">
        <v>103</v>
      </c>
    </row>
    <row r="78" s="126" customFormat="true" ht="15.75" hidden="false" customHeight="true" outlineLevel="0" collapsed="false">
      <c r="A78" s="106" t="s">
        <v>164</v>
      </c>
      <c r="B78" s="107" t="s">
        <v>165</v>
      </c>
      <c r="C78" s="161"/>
      <c r="D78" s="109" t="n">
        <f aca="false">D70</f>
        <v>0.0277583333333333</v>
      </c>
      <c r="E78" s="110" t="n">
        <f aca="false">E70</f>
        <v>151.642605068015</v>
      </c>
    </row>
    <row r="79" s="126" customFormat="true" ht="15.75" hidden="false" customHeight="true" outlineLevel="0" collapsed="false">
      <c r="A79" s="106" t="s">
        <v>180</v>
      </c>
      <c r="B79" s="107" t="s">
        <v>174</v>
      </c>
      <c r="C79" s="161"/>
      <c r="D79" s="109"/>
      <c r="E79" s="110" t="n">
        <f aca="false">E75</f>
        <v>261.542034</v>
      </c>
    </row>
    <row r="80" s="126" customFormat="true" ht="15.75" hidden="false" customHeight="true" outlineLevel="0" collapsed="false">
      <c r="A80" s="112" t="s">
        <v>124</v>
      </c>
      <c r="B80" s="112"/>
      <c r="C80" s="112"/>
      <c r="D80" s="113" t="n">
        <f aca="false">SUM(D78:D79)</f>
        <v>0.0277583333333333</v>
      </c>
      <c r="E80" s="114" t="n">
        <f aca="false">SUM(E78:E79)</f>
        <v>413.184639068015</v>
      </c>
    </row>
    <row r="81" s="126" customFormat="true" ht="15.75" hidden="false" customHeight="true" outlineLevel="0" collapsed="false">
      <c r="A81" s="142" t="s">
        <v>181</v>
      </c>
      <c r="B81" s="142"/>
      <c r="C81" s="142"/>
      <c r="D81" s="142"/>
      <c r="E81" s="162" t="n">
        <f aca="false">SUM(E70+E75)</f>
        <v>413.184639068015</v>
      </c>
    </row>
    <row r="82" s="126" customFormat="true" ht="15.75" hidden="false" customHeight="true" outlineLevel="0" collapsed="false">
      <c r="A82" s="85" t="s">
        <v>182</v>
      </c>
      <c r="B82" s="85"/>
      <c r="C82" s="85"/>
      <c r="D82" s="85"/>
      <c r="E82" s="85"/>
    </row>
    <row r="83" s="126" customFormat="true" ht="15.75" hidden="false" customHeight="true" outlineLevel="0" collapsed="false">
      <c r="A83" s="116" t="n">
        <v>5</v>
      </c>
      <c r="B83" s="143" t="s">
        <v>183</v>
      </c>
      <c r="C83" s="149"/>
      <c r="D83" s="149"/>
      <c r="E83" s="120" t="s">
        <v>103</v>
      </c>
    </row>
    <row r="84" s="126" customFormat="true" ht="15.75" hidden="false" customHeight="true" outlineLevel="0" collapsed="false">
      <c r="A84" s="146" t="s">
        <v>91</v>
      </c>
      <c r="B84" s="147" t="s">
        <v>184</v>
      </c>
      <c r="C84" s="163"/>
      <c r="D84" s="164"/>
      <c r="E84" s="110" t="n">
        <f aca="false">Uniformes!H16</f>
        <v>70.7089583333333</v>
      </c>
    </row>
    <row r="85" s="126" customFormat="true" ht="15.75" hidden="false" customHeight="true" outlineLevel="0" collapsed="false">
      <c r="A85" s="146" t="s">
        <v>93</v>
      </c>
      <c r="B85" s="147" t="s">
        <v>185</v>
      </c>
      <c r="C85" s="163"/>
      <c r="D85" s="164"/>
      <c r="E85" s="110" t="n">
        <f aca="false">Insumos!H20</f>
        <v>276.2690625</v>
      </c>
    </row>
    <row r="86" s="126" customFormat="true" ht="15.75" hidden="false" customHeight="true" outlineLevel="0" collapsed="false">
      <c r="A86" s="146" t="s">
        <v>95</v>
      </c>
      <c r="B86" s="147" t="s">
        <v>186</v>
      </c>
      <c r="C86" s="163"/>
      <c r="D86" s="164"/>
      <c r="E86" s="110" t="n">
        <v>0</v>
      </c>
    </row>
    <row r="87" s="126" customFormat="true" ht="15.75" hidden="false" customHeight="true" outlineLevel="0" collapsed="false">
      <c r="A87" s="146" t="s">
        <v>115</v>
      </c>
      <c r="B87" s="147" t="s">
        <v>187</v>
      </c>
      <c r="C87" s="163"/>
      <c r="D87" s="164"/>
      <c r="E87" s="165" t="n">
        <v>39.8</v>
      </c>
    </row>
    <row r="88" s="126" customFormat="true" ht="15.75" hidden="false" customHeight="true" outlineLevel="0" collapsed="false">
      <c r="A88" s="99" t="s">
        <v>188</v>
      </c>
      <c r="B88" s="99"/>
      <c r="C88" s="99"/>
      <c r="D88" s="99"/>
      <c r="E88" s="100" t="n">
        <f aca="false">SUM(E84:E87)</f>
        <v>386.778020833333</v>
      </c>
    </row>
    <row r="89" s="126" customFormat="true" ht="23.25" hidden="false" customHeight="true" outlineLevel="0" collapsed="false">
      <c r="A89" s="101" t="s">
        <v>189</v>
      </c>
      <c r="B89" s="101"/>
      <c r="C89" s="101"/>
      <c r="D89" s="101"/>
      <c r="E89" s="166" t="n">
        <f aca="false">E88+E81+E60+E52+E23</f>
        <v>6192.21155451362</v>
      </c>
    </row>
    <row r="90" s="126" customFormat="true" ht="19.5" hidden="false" customHeight="true" outlineLevel="0" collapsed="false">
      <c r="A90" s="85" t="s">
        <v>190</v>
      </c>
      <c r="B90" s="85"/>
      <c r="C90" s="85"/>
      <c r="D90" s="85"/>
      <c r="E90" s="85"/>
    </row>
    <row r="91" s="126" customFormat="true" ht="23.85" hidden="false" customHeight="false" outlineLevel="0" collapsed="false">
      <c r="A91" s="116" t="n">
        <v>6</v>
      </c>
      <c r="B91" s="143" t="s">
        <v>191</v>
      </c>
      <c r="C91" s="118" t="s">
        <v>121</v>
      </c>
      <c r="D91" s="118"/>
      <c r="E91" s="120" t="s">
        <v>103</v>
      </c>
    </row>
    <row r="92" s="126" customFormat="true" ht="15.75" hidden="false" customHeight="false" outlineLevel="0" collapsed="false">
      <c r="A92" s="106" t="s">
        <v>91</v>
      </c>
      <c r="B92" s="107" t="s">
        <v>192</v>
      </c>
      <c r="C92" s="167" t="n">
        <f aca="false">E89</f>
        <v>6192.21155451362</v>
      </c>
      <c r="D92" s="109" t="n">
        <v>0.05</v>
      </c>
      <c r="E92" s="110" t="n">
        <f aca="false">C92*D92</f>
        <v>309.610577725681</v>
      </c>
    </row>
    <row r="93" s="126" customFormat="true" ht="15.75" hidden="false" customHeight="false" outlineLevel="0" collapsed="false">
      <c r="A93" s="106" t="s">
        <v>93</v>
      </c>
      <c r="B93" s="107" t="s">
        <v>193</v>
      </c>
      <c r="C93" s="167" t="n">
        <f aca="false">E89+E92</f>
        <v>6501.8221322393</v>
      </c>
      <c r="D93" s="109" t="n">
        <v>0.1</v>
      </c>
      <c r="E93" s="110" t="n">
        <f aca="false">D93*C93</f>
        <v>650.18221322393</v>
      </c>
    </row>
    <row r="94" s="126" customFormat="true" ht="30.75" hidden="false" customHeight="true" outlineLevel="0" collapsed="false">
      <c r="A94" s="106"/>
      <c r="B94" s="168" t="s">
        <v>194</v>
      </c>
      <c r="C94" s="107"/>
      <c r="D94" s="109" t="n">
        <f aca="false">1-D101</f>
        <v>0.9135</v>
      </c>
      <c r="E94" s="110" t="n">
        <f aca="false">+E89+E92+E93</f>
        <v>7152.00434546323</v>
      </c>
    </row>
    <row r="95" s="126" customFormat="true" ht="15.75" hidden="false" customHeight="false" outlineLevel="0" collapsed="false">
      <c r="A95" s="106"/>
      <c r="B95" s="169"/>
      <c r="C95" s="170"/>
      <c r="D95" s="45"/>
      <c r="E95" s="171" t="n">
        <f aca="false">+E94/D94</f>
        <v>7829.23299995975</v>
      </c>
    </row>
    <row r="96" s="126" customFormat="true" ht="15.75" hidden="false" customHeight="false" outlineLevel="0" collapsed="false">
      <c r="A96" s="106" t="s">
        <v>95</v>
      </c>
      <c r="B96" s="156" t="s">
        <v>195</v>
      </c>
      <c r="C96" s="170"/>
      <c r="D96" s="172" t="n">
        <f aca="false">D98+D99+D100</f>
        <v>0.0865</v>
      </c>
      <c r="E96" s="171"/>
    </row>
    <row r="97" s="126" customFormat="true" ht="15.75" hidden="false" customHeight="false" outlineLevel="0" collapsed="false">
      <c r="A97" s="106" t="s">
        <v>196</v>
      </c>
      <c r="B97" s="156" t="s">
        <v>197</v>
      </c>
      <c r="C97" s="156"/>
      <c r="D97" s="173" t="n">
        <f aca="false">D98+D99</f>
        <v>0.0365</v>
      </c>
      <c r="E97" s="110"/>
    </row>
    <row r="98" s="126" customFormat="true" ht="15.75" hidden="false" customHeight="false" outlineLevel="0" collapsed="false">
      <c r="A98" s="106" t="s">
        <v>198</v>
      </c>
      <c r="B98" s="107" t="s">
        <v>199</v>
      </c>
      <c r="C98" s="134" t="n">
        <f aca="false">E95</f>
        <v>7829.23299995975</v>
      </c>
      <c r="D98" s="109" t="n">
        <v>0.0065</v>
      </c>
      <c r="E98" s="110" t="n">
        <f aca="false">C98*D98</f>
        <v>50.8900144997384</v>
      </c>
    </row>
    <row r="99" s="126" customFormat="true" ht="15.75" hidden="false" customHeight="false" outlineLevel="0" collapsed="false">
      <c r="A99" s="106" t="s">
        <v>200</v>
      </c>
      <c r="B99" s="107" t="s">
        <v>201</v>
      </c>
      <c r="C99" s="134" t="n">
        <f aca="false">E95</f>
        <v>7829.23299995975</v>
      </c>
      <c r="D99" s="109" t="n">
        <v>0.03</v>
      </c>
      <c r="E99" s="110" t="n">
        <f aca="false">C99*D99</f>
        <v>234.876989998792</v>
      </c>
    </row>
    <row r="100" s="126" customFormat="true" ht="15.75" hidden="false" customHeight="false" outlineLevel="0" collapsed="false">
      <c r="A100" s="174" t="s">
        <v>202</v>
      </c>
      <c r="B100" s="175" t="s">
        <v>203</v>
      </c>
      <c r="C100" s="176" t="n">
        <f aca="false">E95</f>
        <v>7829.23299995975</v>
      </c>
      <c r="D100" s="177" t="n">
        <v>0.05</v>
      </c>
      <c r="E100" s="178" t="n">
        <f aca="false">C100*D100</f>
        <v>391.461649997987</v>
      </c>
    </row>
    <row r="101" s="126" customFormat="true" ht="15.75" hidden="false" customHeight="false" outlineLevel="0" collapsed="false">
      <c r="A101" s="179"/>
      <c r="B101" s="180" t="s">
        <v>204</v>
      </c>
      <c r="C101" s="180"/>
      <c r="D101" s="181" t="n">
        <f aca="false">D96</f>
        <v>0.0865</v>
      </c>
      <c r="E101" s="182" t="n">
        <f aca="false">SUM(E98:E100)</f>
        <v>677.228654496518</v>
      </c>
    </row>
    <row r="102" s="126" customFormat="true" ht="15.75" hidden="false" customHeight="true" outlineLevel="0" collapsed="false">
      <c r="A102" s="183" t="s">
        <v>205</v>
      </c>
      <c r="B102" s="183"/>
      <c r="C102" s="183"/>
      <c r="D102" s="183"/>
      <c r="E102" s="184" t="n">
        <f aca="false">+E92+E93+E101</f>
        <v>1637.02144544613</v>
      </c>
    </row>
    <row r="103" s="126" customFormat="true" ht="15.75" hidden="false" customHeight="true" outlineLevel="0" collapsed="false">
      <c r="A103" s="185" t="s">
        <v>206</v>
      </c>
      <c r="B103" s="185"/>
      <c r="C103" s="185"/>
      <c r="D103" s="185"/>
      <c r="E103" s="186" t="s">
        <v>103</v>
      </c>
    </row>
    <row r="104" s="126" customFormat="true" ht="15.75" hidden="false" customHeight="true" outlineLevel="0" collapsed="false">
      <c r="A104" s="106" t="s">
        <v>91</v>
      </c>
      <c r="B104" s="156" t="s">
        <v>207</v>
      </c>
      <c r="C104" s="156"/>
      <c r="D104" s="156"/>
      <c r="E104" s="110" t="n">
        <f aca="false">+E23</f>
        <v>2668.7362</v>
      </c>
    </row>
    <row r="105" s="126" customFormat="true" ht="15.75" hidden="false" customHeight="true" outlineLevel="0" collapsed="false">
      <c r="A105" s="106" t="s">
        <v>93</v>
      </c>
      <c r="B105" s="156" t="s">
        <v>208</v>
      </c>
      <c r="C105" s="156"/>
      <c r="D105" s="156"/>
      <c r="E105" s="110" t="n">
        <f aca="false">+E52</f>
        <v>2493.53748526436</v>
      </c>
    </row>
    <row r="106" s="126" customFormat="true" ht="15.75" hidden="false" customHeight="true" outlineLevel="0" collapsed="false">
      <c r="A106" s="106" t="s">
        <v>95</v>
      </c>
      <c r="B106" s="156" t="s">
        <v>209</v>
      </c>
      <c r="C106" s="156"/>
      <c r="D106" s="156"/>
      <c r="E106" s="110" t="n">
        <f aca="false">E60</f>
        <v>229.975209347907</v>
      </c>
    </row>
    <row r="107" s="126" customFormat="true" ht="15.75" hidden="false" customHeight="true" outlineLevel="0" collapsed="false">
      <c r="A107" s="106" t="s">
        <v>115</v>
      </c>
      <c r="B107" s="156" t="s">
        <v>210</v>
      </c>
      <c r="C107" s="156"/>
      <c r="D107" s="156"/>
      <c r="E107" s="110" t="n">
        <f aca="false">E81</f>
        <v>413.184639068015</v>
      </c>
    </row>
    <row r="108" s="126" customFormat="true" ht="15.75" hidden="false" customHeight="true" outlineLevel="0" collapsed="false">
      <c r="A108" s="106" t="s">
        <v>132</v>
      </c>
      <c r="B108" s="156" t="s">
        <v>211</v>
      </c>
      <c r="C108" s="156"/>
      <c r="D108" s="156"/>
      <c r="E108" s="110" t="n">
        <f aca="false">E88</f>
        <v>386.778020833333</v>
      </c>
    </row>
    <row r="109" s="126" customFormat="true" ht="15.75" hidden="false" customHeight="true" outlineLevel="0" collapsed="false">
      <c r="A109" s="116" t="s">
        <v>212</v>
      </c>
      <c r="B109" s="116"/>
      <c r="C109" s="116"/>
      <c r="D109" s="116"/>
      <c r="E109" s="187" t="n">
        <f aca="false">SUM(E104:E108)</f>
        <v>6192.21155451362</v>
      </c>
    </row>
    <row r="110" s="126" customFormat="true" ht="15.75" hidden="false" customHeight="true" outlineLevel="0" collapsed="false">
      <c r="A110" s="106" t="s">
        <v>134</v>
      </c>
      <c r="B110" s="156" t="s">
        <v>213</v>
      </c>
      <c r="C110" s="156"/>
      <c r="D110" s="156"/>
      <c r="E110" s="110" t="n">
        <f aca="false">+E102</f>
        <v>1637.02144544613</v>
      </c>
    </row>
    <row r="111" s="126" customFormat="true" ht="16.5" hidden="false" customHeight="true" outlineLevel="0" collapsed="false">
      <c r="A111" s="188" t="s">
        <v>214</v>
      </c>
      <c r="B111" s="188"/>
      <c r="C111" s="188"/>
      <c r="D111" s="188"/>
      <c r="E111" s="189" t="n">
        <f aca="false">+E109+E110</f>
        <v>7829.23299995975</v>
      </c>
    </row>
    <row r="112" customFormat="false" ht="15.75" hidden="false" customHeight="false" outlineLevel="0" collapsed="false">
      <c r="A112" s="202"/>
      <c r="B112" s="202"/>
      <c r="C112" s="202"/>
      <c r="D112" s="202"/>
      <c r="E112" s="202"/>
    </row>
    <row r="113" customFormat="false" ht="16.5" hidden="false" customHeight="true" outlineLevel="0" collapsed="false">
      <c r="A113" s="191" t="s">
        <v>218</v>
      </c>
      <c r="B113" s="191"/>
      <c r="C113" s="191"/>
      <c r="D113" s="191"/>
      <c r="E113" s="192" t="n">
        <f aca="false">E111*2</f>
        <v>15658.4659999195</v>
      </c>
    </row>
    <row r="118" customFormat="false" ht="15.75" hidden="false" customHeight="false" outlineLevel="0" collapsed="false">
      <c r="B118" s="65"/>
      <c r="C118" s="65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7" activeCellId="0" sqref="G17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40.71"/>
    <col collapsed="false" customWidth="true" hidden="false" outlineLevel="0" max="3" min="3" style="1" width="30.71"/>
    <col collapsed="false" customWidth="true" hidden="false" outlineLevel="0" max="4" min="4" style="1" width="15.71"/>
    <col collapsed="false" customWidth="true" hidden="false" outlineLevel="0" max="5" min="5" style="1" width="30.71"/>
    <col collapsed="false" customWidth="true" hidden="false" outlineLevel="0" max="8" min="6" style="1" width="15.71"/>
  </cols>
  <sheetData>
    <row r="1" customFormat="false" ht="15" hidden="false" customHeight="true" outlineLevel="0" collapsed="false">
      <c r="A1" s="203" t="s">
        <v>219</v>
      </c>
      <c r="B1" s="203"/>
      <c r="C1" s="203"/>
      <c r="D1" s="203"/>
      <c r="E1" s="203"/>
      <c r="F1" s="203"/>
      <c r="G1" s="203"/>
      <c r="H1" s="203"/>
    </row>
    <row r="2" customFormat="false" ht="15" hidden="false" customHeight="true" outlineLevel="0" collapsed="false">
      <c r="A2" s="204" t="s">
        <v>220</v>
      </c>
      <c r="B2" s="204"/>
      <c r="C2" s="204"/>
      <c r="D2" s="204"/>
      <c r="E2" s="204"/>
      <c r="F2" s="204"/>
      <c r="G2" s="204"/>
      <c r="H2" s="204"/>
    </row>
    <row r="3" customFormat="false" ht="30" hidden="false" customHeight="true" outlineLevel="0" collapsed="false">
      <c r="A3" s="205" t="s">
        <v>221</v>
      </c>
      <c r="B3" s="206" t="s">
        <v>222</v>
      </c>
      <c r="C3" s="206" t="s">
        <v>223</v>
      </c>
      <c r="D3" s="206" t="s">
        <v>224</v>
      </c>
      <c r="E3" s="206" t="s">
        <v>225</v>
      </c>
      <c r="F3" s="207" t="s">
        <v>226</v>
      </c>
      <c r="G3" s="207" t="s">
        <v>227</v>
      </c>
      <c r="H3" s="208" t="s">
        <v>228</v>
      </c>
    </row>
    <row r="4" customFormat="false" ht="15" hidden="false" customHeight="true" outlineLevel="0" collapsed="false">
      <c r="A4" s="70" t="n">
        <v>1</v>
      </c>
      <c r="B4" s="209" t="s">
        <v>229</v>
      </c>
      <c r="C4" s="209" t="s">
        <v>230</v>
      </c>
      <c r="D4" s="209" t="n">
        <f aca="false">(8*3)*1</f>
        <v>24</v>
      </c>
      <c r="E4" s="92" t="s">
        <v>231</v>
      </c>
      <c r="F4" s="210" t="n">
        <v>42</v>
      </c>
      <c r="G4" s="210" t="n">
        <f aca="false">F4*D4</f>
        <v>1008</v>
      </c>
      <c r="H4" s="211" t="n">
        <f aca="false">G4/12</f>
        <v>84</v>
      </c>
    </row>
    <row r="5" customFormat="false" ht="15" hidden="false" customHeight="true" outlineLevel="0" collapsed="false">
      <c r="A5" s="70" t="n">
        <v>2</v>
      </c>
      <c r="B5" s="209" t="s">
        <v>232</v>
      </c>
      <c r="C5" s="209" t="s">
        <v>230</v>
      </c>
      <c r="D5" s="209" t="n">
        <f aca="false">(8*3)*1</f>
        <v>24</v>
      </c>
      <c r="E5" s="92" t="s">
        <v>231</v>
      </c>
      <c r="F5" s="210" t="n">
        <v>40</v>
      </c>
      <c r="G5" s="210" t="n">
        <f aca="false">F5*D5</f>
        <v>960</v>
      </c>
      <c r="H5" s="211" t="n">
        <f aca="false">G5/12</f>
        <v>80</v>
      </c>
    </row>
    <row r="6" customFormat="false" ht="15" hidden="false" customHeight="true" outlineLevel="0" collapsed="false">
      <c r="A6" s="70" t="n">
        <v>3</v>
      </c>
      <c r="B6" s="209" t="s">
        <v>233</v>
      </c>
      <c r="C6" s="209" t="s">
        <v>234</v>
      </c>
      <c r="D6" s="209" t="n">
        <f aca="false">2*1</f>
        <v>2</v>
      </c>
      <c r="E6" s="209" t="s">
        <v>235</v>
      </c>
      <c r="F6" s="210" t="n">
        <v>35.59</v>
      </c>
      <c r="G6" s="210" t="n">
        <f aca="false">F6*D6</f>
        <v>71.18</v>
      </c>
      <c r="H6" s="211" t="n">
        <f aca="false">G6/12</f>
        <v>5.93166666666667</v>
      </c>
    </row>
    <row r="7" customFormat="false" ht="15" hidden="false" customHeight="true" outlineLevel="0" collapsed="false">
      <c r="A7" s="70" t="n">
        <v>4</v>
      </c>
      <c r="B7" s="209" t="s">
        <v>236</v>
      </c>
      <c r="C7" s="209" t="s">
        <v>237</v>
      </c>
      <c r="D7" s="209" t="n">
        <f aca="false">(8*1)*1</f>
        <v>8</v>
      </c>
      <c r="E7" s="209" t="s">
        <v>235</v>
      </c>
      <c r="F7" s="210" t="n">
        <v>310</v>
      </c>
      <c r="G7" s="210" t="n">
        <f aca="false">F7*D7</f>
        <v>2480</v>
      </c>
      <c r="H7" s="211" t="n">
        <f aca="false">G7/12</f>
        <v>206.666666666667</v>
      </c>
    </row>
    <row r="8" customFormat="false" ht="15" hidden="false" customHeight="true" outlineLevel="0" collapsed="false">
      <c r="A8" s="70" t="n">
        <v>5</v>
      </c>
      <c r="B8" s="209" t="s">
        <v>238</v>
      </c>
      <c r="C8" s="209" t="s">
        <v>237</v>
      </c>
      <c r="D8" s="209" t="n">
        <f aca="false">(8*1)*1</f>
        <v>8</v>
      </c>
      <c r="E8" s="209" t="s">
        <v>235</v>
      </c>
      <c r="F8" s="210" t="n">
        <v>29.8</v>
      </c>
      <c r="G8" s="210" t="n">
        <f aca="false">F8*D8</f>
        <v>238.4</v>
      </c>
      <c r="H8" s="211" t="n">
        <f aca="false">G8/12</f>
        <v>19.8666666666667</v>
      </c>
    </row>
    <row r="9" customFormat="false" ht="15" hidden="false" customHeight="true" outlineLevel="0" collapsed="false">
      <c r="A9" s="70" t="n">
        <v>6</v>
      </c>
      <c r="B9" s="209" t="s">
        <v>239</v>
      </c>
      <c r="C9" s="209" t="s">
        <v>237</v>
      </c>
      <c r="D9" s="209" t="n">
        <f aca="false">(8*1)*1</f>
        <v>8</v>
      </c>
      <c r="E9" s="92" t="s">
        <v>231</v>
      </c>
      <c r="F9" s="210" t="n">
        <v>2.01</v>
      </c>
      <c r="G9" s="210" t="n">
        <f aca="false">F9*D9</f>
        <v>16.08</v>
      </c>
      <c r="H9" s="211" t="n">
        <f aca="false">G9/12</f>
        <v>1.34</v>
      </c>
    </row>
    <row r="10" customFormat="false" ht="15" hidden="false" customHeight="true" outlineLevel="0" collapsed="false">
      <c r="A10" s="70" t="n">
        <v>7</v>
      </c>
      <c r="B10" s="209" t="s">
        <v>240</v>
      </c>
      <c r="C10" s="209" t="s">
        <v>237</v>
      </c>
      <c r="D10" s="209" t="n">
        <f aca="false">(8*1)*1</f>
        <v>8</v>
      </c>
      <c r="E10" s="209" t="s">
        <v>235</v>
      </c>
      <c r="F10" s="210" t="n">
        <v>9</v>
      </c>
      <c r="G10" s="210" t="n">
        <f aca="false">F10*D10</f>
        <v>72</v>
      </c>
      <c r="H10" s="211" t="n">
        <f aca="false">G10/12</f>
        <v>6</v>
      </c>
    </row>
    <row r="11" customFormat="false" ht="15" hidden="false" customHeight="true" outlineLevel="0" collapsed="false">
      <c r="A11" s="70" t="n">
        <v>8</v>
      </c>
      <c r="B11" s="209" t="s">
        <v>241</v>
      </c>
      <c r="C11" s="209" t="s">
        <v>237</v>
      </c>
      <c r="D11" s="209" t="n">
        <f aca="false">(8*1)*1</f>
        <v>8</v>
      </c>
      <c r="E11" s="209" t="s">
        <v>235</v>
      </c>
      <c r="F11" s="210" t="n">
        <v>35</v>
      </c>
      <c r="G11" s="210" t="n">
        <f aca="false">F11*D11</f>
        <v>280</v>
      </c>
      <c r="H11" s="211" t="n">
        <f aca="false">G11/12</f>
        <v>23.3333333333333</v>
      </c>
    </row>
    <row r="12" customFormat="false" ht="15" hidden="false" customHeight="true" outlineLevel="0" collapsed="false">
      <c r="A12" s="70" t="n">
        <v>9</v>
      </c>
      <c r="B12" s="209" t="s">
        <v>242</v>
      </c>
      <c r="C12" s="209" t="s">
        <v>230</v>
      </c>
      <c r="D12" s="209" t="n">
        <f aca="false">(8*3)*2</f>
        <v>48</v>
      </c>
      <c r="E12" s="209" t="s">
        <v>243</v>
      </c>
      <c r="F12" s="210" t="n">
        <v>9.8</v>
      </c>
      <c r="G12" s="210" t="n">
        <f aca="false">F12*D12</f>
        <v>470.4</v>
      </c>
      <c r="H12" s="211" t="n">
        <f aca="false">G12/12</f>
        <v>39.2</v>
      </c>
    </row>
    <row r="13" customFormat="false" ht="15" hidden="false" customHeight="true" outlineLevel="0" collapsed="false">
      <c r="A13" s="70" t="n">
        <v>10</v>
      </c>
      <c r="B13" s="209" t="s">
        <v>244</v>
      </c>
      <c r="C13" s="209" t="s">
        <v>237</v>
      </c>
      <c r="D13" s="209" t="n">
        <f aca="false">(8*1)*2</f>
        <v>16</v>
      </c>
      <c r="E13" s="209" t="s">
        <v>243</v>
      </c>
      <c r="F13" s="210" t="n">
        <v>24.5</v>
      </c>
      <c r="G13" s="210" t="n">
        <f aca="false">F13*D13</f>
        <v>392</v>
      </c>
      <c r="H13" s="211" t="n">
        <f aca="false">G13/12</f>
        <v>32.6666666666667</v>
      </c>
    </row>
    <row r="14" customFormat="false" ht="15" hidden="false" customHeight="true" outlineLevel="0" collapsed="false">
      <c r="A14" s="70" t="n">
        <v>11</v>
      </c>
      <c r="B14" s="209" t="s">
        <v>245</v>
      </c>
      <c r="C14" s="209" t="s">
        <v>237</v>
      </c>
      <c r="D14" s="209" t="n">
        <f aca="false">(8*1)*2</f>
        <v>16</v>
      </c>
      <c r="E14" s="209" t="s">
        <v>243</v>
      </c>
      <c r="F14" s="210" t="n">
        <v>50</v>
      </c>
      <c r="G14" s="210" t="n">
        <f aca="false">F14*D14</f>
        <v>800</v>
      </c>
      <c r="H14" s="211" t="n">
        <f aca="false">G14/12</f>
        <v>66.6666666666667</v>
      </c>
    </row>
    <row r="15" customFormat="false" ht="15" hidden="false" customHeight="true" outlineLevel="0" collapsed="false">
      <c r="A15" s="212"/>
      <c r="B15" s="212"/>
      <c r="C15" s="212"/>
      <c r="D15" s="212"/>
      <c r="E15" s="212"/>
      <c r="F15" s="212"/>
      <c r="G15" s="213" t="n">
        <f aca="false">SUM(G4:G14)</f>
        <v>6788.06</v>
      </c>
      <c r="H15" s="213" t="n">
        <f aca="false">SUM(H4:H14)</f>
        <v>565.671666666667</v>
      </c>
    </row>
    <row r="16" customFormat="false" ht="15" hidden="false" customHeight="true" outlineLevel="0" collapsed="false">
      <c r="A16" s="214" t="s">
        <v>246</v>
      </c>
      <c r="B16" s="214"/>
      <c r="C16" s="214"/>
      <c r="D16" s="214"/>
      <c r="E16" s="214"/>
      <c r="F16" s="214"/>
      <c r="G16" s="214"/>
      <c r="H16" s="215" t="n">
        <f aca="false">H15/8</f>
        <v>70.7089583333333</v>
      </c>
    </row>
    <row r="17" customFormat="false" ht="15" hidden="false" customHeight="true" outlineLevel="0" collapsed="false">
      <c r="A17" s="216" t="s">
        <v>247</v>
      </c>
      <c r="B17" s="216"/>
      <c r="C17" s="216"/>
      <c r="D17" s="216"/>
      <c r="E17" s="216"/>
      <c r="F17" s="216"/>
      <c r="G17" s="216"/>
      <c r="H17" s="216"/>
    </row>
    <row r="26" customFormat="false" ht="132.75" hidden="false" customHeight="true" outlineLevel="0" collapsed="false"/>
  </sheetData>
  <mergeCells count="5">
    <mergeCell ref="A1:H1"/>
    <mergeCell ref="A2:H2"/>
    <mergeCell ref="A15:F15"/>
    <mergeCell ref="A16:G16"/>
    <mergeCell ref="A17:H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7" activeCellId="0" sqref="G1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217" width="8.71"/>
    <col collapsed="false" customWidth="true" hidden="false" outlineLevel="0" max="4" min="2" style="217" width="20.71"/>
    <col collapsed="false" customWidth="true" hidden="false" outlineLevel="0" max="5" min="5" style="217" width="30.71"/>
    <col collapsed="false" customWidth="true" hidden="false" outlineLevel="0" max="8" min="6" style="217" width="15.71"/>
    <col collapsed="false" customWidth="false" hidden="false" outlineLevel="0" max="17" min="9" style="217" width="9.14"/>
  </cols>
  <sheetData>
    <row r="1" customFormat="false" ht="15" hidden="false" customHeight="true" outlineLevel="0" collapsed="false">
      <c r="A1" s="218" t="s">
        <v>248</v>
      </c>
      <c r="B1" s="218"/>
      <c r="C1" s="218"/>
      <c r="D1" s="218"/>
      <c r="E1" s="218"/>
      <c r="F1" s="218"/>
      <c r="G1" s="218"/>
      <c r="H1" s="218"/>
    </row>
    <row r="2" customFormat="false" ht="15" hidden="false" customHeight="true" outlineLevel="0" collapsed="false">
      <c r="A2" s="219"/>
      <c r="B2" s="219"/>
      <c r="C2" s="219"/>
      <c r="D2" s="219"/>
      <c r="E2" s="219"/>
      <c r="F2" s="219"/>
      <c r="G2" s="219"/>
      <c r="H2" s="219"/>
    </row>
    <row r="3" customFormat="false" ht="15" hidden="false" customHeight="true" outlineLevel="0" collapsed="false">
      <c r="A3" s="220" t="s">
        <v>220</v>
      </c>
      <c r="B3" s="220"/>
      <c r="C3" s="220"/>
      <c r="D3" s="220"/>
      <c r="E3" s="220"/>
      <c r="F3" s="220"/>
      <c r="G3" s="220"/>
      <c r="H3" s="220"/>
    </row>
    <row r="4" customFormat="false" ht="30" hidden="false" customHeight="true" outlineLevel="0" collapsed="false">
      <c r="A4" s="221" t="s">
        <v>221</v>
      </c>
      <c r="B4" s="222" t="s">
        <v>222</v>
      </c>
      <c r="C4" s="222" t="s">
        <v>223</v>
      </c>
      <c r="D4" s="222" t="s">
        <v>224</v>
      </c>
      <c r="E4" s="222" t="s">
        <v>225</v>
      </c>
      <c r="F4" s="223" t="s">
        <v>226</v>
      </c>
      <c r="G4" s="223" t="s">
        <v>227</v>
      </c>
      <c r="H4" s="224" t="s">
        <v>228</v>
      </c>
    </row>
    <row r="5" customFormat="false" ht="15" hidden="false" customHeight="true" outlineLevel="0" collapsed="false">
      <c r="A5" s="70" t="n">
        <v>1</v>
      </c>
      <c r="B5" s="225" t="s">
        <v>249</v>
      </c>
      <c r="C5" s="225" t="s">
        <v>234</v>
      </c>
      <c r="D5" s="225" t="n">
        <f aca="false">2*1</f>
        <v>2</v>
      </c>
      <c r="E5" s="209" t="s">
        <v>235</v>
      </c>
      <c r="F5" s="226" t="n">
        <v>98</v>
      </c>
      <c r="G5" s="197" t="n">
        <f aca="false">F5*D5</f>
        <v>196</v>
      </c>
      <c r="H5" s="227" t="n">
        <f aca="false">G5/12</f>
        <v>16.3333333333333</v>
      </c>
    </row>
    <row r="6" customFormat="false" ht="15" hidden="false" customHeight="true" outlineLevel="0" collapsed="false">
      <c r="A6" s="70" t="n">
        <v>2</v>
      </c>
      <c r="B6" s="225" t="s">
        <v>250</v>
      </c>
      <c r="C6" s="225" t="s">
        <v>234</v>
      </c>
      <c r="D6" s="225" t="n">
        <f aca="false">2*1</f>
        <v>2</v>
      </c>
      <c r="E6" s="209" t="s">
        <v>235</v>
      </c>
      <c r="F6" s="226" t="n">
        <v>109</v>
      </c>
      <c r="G6" s="197" t="n">
        <f aca="false">F6*D6</f>
        <v>218</v>
      </c>
      <c r="H6" s="227" t="n">
        <f aca="false">G6/12</f>
        <v>18.1666666666667</v>
      </c>
    </row>
    <row r="7" customFormat="false" ht="15" hidden="false" customHeight="true" outlineLevel="0" collapsed="false">
      <c r="A7" s="70" t="n">
        <v>3</v>
      </c>
      <c r="B7" s="225" t="s">
        <v>251</v>
      </c>
      <c r="C7" s="225" t="s">
        <v>234</v>
      </c>
      <c r="D7" s="225" t="n">
        <f aca="false">2*1</f>
        <v>2</v>
      </c>
      <c r="E7" s="209" t="s">
        <v>235</v>
      </c>
      <c r="F7" s="226" t="n">
        <v>38.41</v>
      </c>
      <c r="G7" s="197" t="n">
        <f aca="false">F7*D7</f>
        <v>76.82</v>
      </c>
      <c r="H7" s="227" t="n">
        <f aca="false">G7/12</f>
        <v>6.40166666666667</v>
      </c>
    </row>
    <row r="8" customFormat="false" ht="45" hidden="false" customHeight="true" outlineLevel="0" collapsed="false">
      <c r="A8" s="70" t="n">
        <v>4</v>
      </c>
      <c r="B8" s="225" t="s">
        <v>252</v>
      </c>
      <c r="C8" s="228" t="s">
        <v>253</v>
      </c>
      <c r="D8" s="228" t="s">
        <v>253</v>
      </c>
      <c r="E8" s="228" t="s">
        <v>254</v>
      </c>
      <c r="F8" s="226" t="n">
        <v>7.53</v>
      </c>
      <c r="G8" s="197" t="n">
        <f aca="false">F8*8</f>
        <v>60.24</v>
      </c>
      <c r="H8" s="227" t="n">
        <f aca="false">G8/12</f>
        <v>5.02</v>
      </c>
    </row>
    <row r="9" customFormat="false" ht="15" hidden="false" customHeight="true" outlineLevel="0" collapsed="false">
      <c r="A9" s="70" t="n">
        <v>5</v>
      </c>
      <c r="B9" s="225" t="s">
        <v>255</v>
      </c>
      <c r="C9" s="225" t="s">
        <v>234</v>
      </c>
      <c r="D9" s="228" t="n">
        <f aca="false">2*1</f>
        <v>2</v>
      </c>
      <c r="E9" s="209" t="s">
        <v>235</v>
      </c>
      <c r="F9" s="226" t="n">
        <v>5492</v>
      </c>
      <c r="G9" s="197" t="n">
        <f aca="false">F9*D9</f>
        <v>10984</v>
      </c>
      <c r="H9" s="227" t="n">
        <f aca="false">G9/12</f>
        <v>915.333333333333</v>
      </c>
    </row>
    <row r="10" customFormat="false" ht="15" hidden="false" customHeight="true" outlineLevel="0" collapsed="false">
      <c r="A10" s="70" t="n">
        <v>6</v>
      </c>
      <c r="B10" s="225" t="s">
        <v>256</v>
      </c>
      <c r="C10" s="225" t="s">
        <v>237</v>
      </c>
      <c r="D10" s="225" t="n">
        <f aca="false">(8*1)*1</f>
        <v>8</v>
      </c>
      <c r="E10" s="209" t="s">
        <v>235</v>
      </c>
      <c r="F10" s="226" t="n">
        <v>13</v>
      </c>
      <c r="G10" s="197" t="n">
        <f aca="false">F10*D10</f>
        <v>104</v>
      </c>
      <c r="H10" s="227" t="n">
        <f aca="false">G10/12</f>
        <v>8.66666666666667</v>
      </c>
    </row>
    <row r="11" customFormat="false" ht="45" hidden="false" customHeight="true" outlineLevel="0" collapsed="false">
      <c r="A11" s="70" t="n">
        <v>7</v>
      </c>
      <c r="B11" s="228" t="s">
        <v>257</v>
      </c>
      <c r="C11" s="225" t="s">
        <v>234</v>
      </c>
      <c r="D11" s="228" t="n">
        <f aca="false">2*1</f>
        <v>2</v>
      </c>
      <c r="E11" s="228" t="s">
        <v>258</v>
      </c>
      <c r="F11" s="226" t="n">
        <v>115.23</v>
      </c>
      <c r="G11" s="197" t="n">
        <f aca="false">F11*D11</f>
        <v>230.46</v>
      </c>
      <c r="H11" s="227" t="n">
        <f aca="false">G11/12</f>
        <v>19.205</v>
      </c>
    </row>
    <row r="12" customFormat="false" ht="15" hidden="false" customHeight="true" outlineLevel="0" collapsed="false">
      <c r="A12" s="70" t="n">
        <v>8</v>
      </c>
      <c r="B12" s="225" t="s">
        <v>259</v>
      </c>
      <c r="C12" s="225" t="s">
        <v>234</v>
      </c>
      <c r="D12" s="228" t="n">
        <f aca="false">2*1</f>
        <v>2</v>
      </c>
      <c r="E12" s="209" t="s">
        <v>235</v>
      </c>
      <c r="F12" s="226" t="n">
        <v>69</v>
      </c>
      <c r="G12" s="197" t="n">
        <f aca="false">F12*D12</f>
        <v>138</v>
      </c>
      <c r="H12" s="227" t="n">
        <f aca="false">G12/12</f>
        <v>11.5</v>
      </c>
    </row>
    <row r="13" customFormat="false" ht="15" hidden="false" customHeight="true" outlineLevel="0" collapsed="false">
      <c r="A13" s="70" t="n">
        <v>9</v>
      </c>
      <c r="B13" s="228" t="s">
        <v>260</v>
      </c>
      <c r="C13" s="225" t="s">
        <v>237</v>
      </c>
      <c r="D13" s="225" t="n">
        <f aca="false">(8*1)*1</f>
        <v>8</v>
      </c>
      <c r="E13" s="209" t="s">
        <v>235</v>
      </c>
      <c r="F13" s="226" t="n">
        <v>1638</v>
      </c>
      <c r="G13" s="197" t="n">
        <f aca="false">F13*D13</f>
        <v>13104</v>
      </c>
      <c r="H13" s="227" t="n">
        <f aca="false">G13/12</f>
        <v>1092</v>
      </c>
    </row>
    <row r="14" customFormat="false" ht="15" hidden="false" customHeight="true" outlineLevel="0" collapsed="false">
      <c r="A14" s="70" t="n">
        <v>10</v>
      </c>
      <c r="B14" s="225" t="s">
        <v>261</v>
      </c>
      <c r="C14" s="225" t="s">
        <v>237</v>
      </c>
      <c r="D14" s="225" t="n">
        <f aca="false">(8*1)*1</f>
        <v>8</v>
      </c>
      <c r="E14" s="209" t="s">
        <v>235</v>
      </c>
      <c r="F14" s="226" t="n">
        <v>6.42</v>
      </c>
      <c r="G14" s="197" t="n">
        <f aca="false">F14*D14</f>
        <v>51.36</v>
      </c>
      <c r="H14" s="227" t="n">
        <f aca="false">G14/12</f>
        <v>4.28</v>
      </c>
      <c r="K14" s="1"/>
      <c r="L14" s="1"/>
      <c r="M14" s="1"/>
      <c r="N14" s="1"/>
      <c r="O14" s="1"/>
      <c r="P14" s="1"/>
      <c r="Q14" s="1"/>
    </row>
    <row r="15" customFormat="false" ht="15" hidden="false" customHeight="true" outlineLevel="0" collapsed="false">
      <c r="A15" s="70" t="n">
        <v>11</v>
      </c>
      <c r="B15" s="228" t="s">
        <v>262</v>
      </c>
      <c r="C15" s="225" t="s">
        <v>234</v>
      </c>
      <c r="D15" s="228" t="n">
        <f aca="false">2*1</f>
        <v>2</v>
      </c>
      <c r="E15" s="209" t="s">
        <v>235</v>
      </c>
      <c r="F15" s="226" t="n">
        <v>40.39</v>
      </c>
      <c r="G15" s="197" t="n">
        <f aca="false">F15*D15</f>
        <v>80.78</v>
      </c>
      <c r="H15" s="227" t="n">
        <f aca="false">G15/12</f>
        <v>6.73166666666667</v>
      </c>
      <c r="K15" s="1"/>
      <c r="L15" s="1"/>
      <c r="M15" s="1"/>
      <c r="N15" s="1"/>
      <c r="O15" s="1"/>
      <c r="P15" s="1"/>
      <c r="Q15" s="1"/>
    </row>
    <row r="16" customFormat="false" ht="15" hidden="false" customHeight="true" outlineLevel="0" collapsed="false">
      <c r="A16" s="70" t="n">
        <v>12</v>
      </c>
      <c r="B16" s="225" t="s">
        <v>263</v>
      </c>
      <c r="C16" s="225" t="s">
        <v>264</v>
      </c>
      <c r="D16" s="225" t="n">
        <f aca="false">1*3</f>
        <v>3</v>
      </c>
      <c r="E16" s="225" t="s">
        <v>265</v>
      </c>
      <c r="F16" s="226" t="n">
        <v>10.19</v>
      </c>
      <c r="G16" s="197" t="n">
        <f aca="false">F16*D16</f>
        <v>30.57</v>
      </c>
      <c r="H16" s="227" t="n">
        <f aca="false">G16/12</f>
        <v>2.5475</v>
      </c>
      <c r="K16" s="1"/>
      <c r="L16" s="1"/>
      <c r="M16" s="1"/>
      <c r="N16" s="1"/>
      <c r="O16" s="1"/>
      <c r="P16" s="1"/>
      <c r="Q16" s="1"/>
    </row>
    <row r="17" customFormat="false" ht="15" hidden="false" customHeight="true" outlineLevel="0" collapsed="false">
      <c r="A17" s="70" t="n">
        <v>13</v>
      </c>
      <c r="B17" s="225" t="s">
        <v>266</v>
      </c>
      <c r="C17" s="225" t="s">
        <v>237</v>
      </c>
      <c r="D17" s="225" t="n">
        <f aca="false">(8*1)*1</f>
        <v>8</v>
      </c>
      <c r="E17" s="209" t="s">
        <v>235</v>
      </c>
      <c r="F17" s="226" t="n">
        <v>21.2</v>
      </c>
      <c r="G17" s="197" t="n">
        <f aca="false">F17*D17</f>
        <v>169.6</v>
      </c>
      <c r="H17" s="227" t="n">
        <f aca="false">G17/12</f>
        <v>14.1333333333333</v>
      </c>
      <c r="K17" s="1"/>
      <c r="L17" s="1"/>
      <c r="M17" s="1"/>
      <c r="N17" s="1"/>
      <c r="O17" s="1"/>
      <c r="P17" s="1"/>
      <c r="Q17" s="1"/>
    </row>
    <row r="18" customFormat="false" ht="15" hidden="false" customHeight="true" outlineLevel="0" collapsed="false">
      <c r="A18" s="70" t="n">
        <v>14</v>
      </c>
      <c r="B18" s="228" t="s">
        <v>267</v>
      </c>
      <c r="C18" s="225" t="s">
        <v>234</v>
      </c>
      <c r="D18" s="228" t="n">
        <f aca="false">2*1</f>
        <v>2</v>
      </c>
      <c r="E18" s="229" t="s">
        <v>235</v>
      </c>
      <c r="F18" s="226" t="n">
        <v>539</v>
      </c>
      <c r="G18" s="197" t="n">
        <f aca="false">F18*D18</f>
        <v>1078</v>
      </c>
      <c r="H18" s="227" t="n">
        <f aca="false">G18/12</f>
        <v>89.8333333333333</v>
      </c>
      <c r="K18" s="1"/>
      <c r="L18" s="1"/>
      <c r="M18" s="1"/>
      <c r="N18" s="1"/>
      <c r="O18" s="1"/>
      <c r="P18" s="1"/>
      <c r="Q18" s="1"/>
    </row>
    <row r="19" customFormat="false" ht="15" hidden="false" customHeight="true" outlineLevel="0" collapsed="false">
      <c r="A19" s="230"/>
      <c r="B19" s="230"/>
      <c r="C19" s="230"/>
      <c r="D19" s="230"/>
      <c r="E19" s="230"/>
      <c r="F19" s="230"/>
      <c r="G19" s="231" t="n">
        <f aca="false">SUM(G5:G18)</f>
        <v>26521.83</v>
      </c>
      <c r="H19" s="231" t="n">
        <f aca="false">SUM(H5:H18)</f>
        <v>2210.1525</v>
      </c>
    </row>
    <row r="20" customFormat="false" ht="15" hidden="false" customHeight="true" outlineLevel="0" collapsed="false">
      <c r="A20" s="232" t="s">
        <v>246</v>
      </c>
      <c r="B20" s="232"/>
      <c r="C20" s="232"/>
      <c r="D20" s="232"/>
      <c r="E20" s="232"/>
      <c r="F20" s="232"/>
      <c r="G20" s="232"/>
      <c r="H20" s="233" t="n">
        <f aca="false">H19/8</f>
        <v>276.2690625</v>
      </c>
    </row>
    <row r="21" customFormat="false" ht="15" hidden="false" customHeight="false" outlineLevel="0" collapsed="false">
      <c r="A21" s="234" t="s">
        <v>247</v>
      </c>
      <c r="B21" s="234"/>
      <c r="C21" s="234"/>
      <c r="D21" s="234"/>
      <c r="E21" s="234"/>
      <c r="F21" s="234"/>
      <c r="G21" s="234"/>
      <c r="H21" s="234"/>
    </row>
    <row r="23" customFormat="false" ht="15" hidden="false" customHeight="false" outlineLevel="0" collapsed="false">
      <c r="B23" s="1"/>
      <c r="C23" s="1"/>
      <c r="D23" s="1"/>
      <c r="E23" s="1"/>
      <c r="F23" s="1"/>
      <c r="G23" s="1"/>
      <c r="H23" s="1"/>
    </row>
    <row r="24" customFormat="false" ht="15" hidden="false" customHeight="false" outlineLevel="0" collapsed="false">
      <c r="B24" s="1"/>
      <c r="C24" s="1"/>
      <c r="D24" s="1"/>
      <c r="E24" s="1"/>
      <c r="F24" s="1"/>
      <c r="G24" s="1"/>
      <c r="H24" s="1"/>
    </row>
    <row r="25" customFormat="false" ht="15" hidden="false" customHeight="false" outlineLevel="0" collapsed="false">
      <c r="B25" s="1"/>
      <c r="C25" s="1"/>
      <c r="D25" s="1"/>
      <c r="E25" s="1"/>
      <c r="F25" s="1"/>
      <c r="G25" s="1"/>
      <c r="H25" s="1"/>
    </row>
    <row r="26" customFormat="false" ht="15" hidden="false" customHeight="false" outlineLevel="0" collapsed="false">
      <c r="B26" s="1"/>
      <c r="C26" s="1"/>
      <c r="D26" s="1"/>
      <c r="E26" s="1"/>
      <c r="F26" s="1"/>
      <c r="G26" s="1"/>
      <c r="H26" s="1"/>
    </row>
    <row r="27" customFormat="false" ht="15" hidden="false" customHeight="false" outlineLevel="0" collapsed="false">
      <c r="B27" s="1"/>
      <c r="C27" s="1"/>
      <c r="D27" s="1"/>
      <c r="E27" s="1"/>
      <c r="F27" s="1"/>
      <c r="G27" s="1"/>
      <c r="H27" s="1"/>
    </row>
    <row r="28" customFormat="false" ht="15" hidden="false" customHeight="false" outlineLevel="0" collapsed="false">
      <c r="B28" s="1"/>
      <c r="C28" s="1"/>
      <c r="D28" s="1"/>
      <c r="E28" s="1"/>
      <c r="F28" s="1"/>
      <c r="G28" s="1"/>
      <c r="H28" s="1"/>
    </row>
  </sheetData>
  <mergeCells count="6">
    <mergeCell ref="A1:H1"/>
    <mergeCell ref="A2:H2"/>
    <mergeCell ref="A3:H3"/>
    <mergeCell ref="A19:F19"/>
    <mergeCell ref="A20:G20"/>
    <mergeCell ref="A21:H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2026-01-28T12:42:44Z</cp:lastPrinted>
  <dcterms:modified xsi:type="dcterms:W3CDTF">2026-02-13T08:17:30Z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