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347396226\Desktop\Transpote roviario- Ajuste novos\1- VALE DO ANARI\1.1. Vale do Anari\"/>
    </mc:Choice>
  </mc:AlternateContent>
  <bookViews>
    <workbookView xWindow="0" yWindow="0" windowWidth="28800" windowHeight="12435" tabRatio="701" activeTab="4"/>
  </bookViews>
  <sheets>
    <sheet name="COMPOSIÇÃO DOS CUSTOS" sheetId="1" r:id="rId1"/>
    <sheet name="TABELA DE VALORES POR TRECHO" sheetId="7" r:id="rId2"/>
    <sheet name="DEPRECIAÇÃO LINEAR" sheetId="5" r:id="rId3"/>
    <sheet name="TIPO DO ÔNIBUS" sheetId="6" r:id="rId4"/>
    <sheet name="Motorista" sheetId="12" r:id="rId5"/>
    <sheet name="Monitor" sheetId="13" r:id="rId6"/>
  </sheets>
  <externalReferences>
    <externalReference r:id="rId7"/>
  </externalReferences>
  <definedNames>
    <definedName name="_xlnm.Print_Area" localSheetId="0">'COMPOSIÇÃO DOS CUSTOS'!$A$1:$P$90</definedName>
    <definedName name="_xlnm.Print_Area" localSheetId="5">Monitor!$A$1:$E$95</definedName>
    <definedName name="_xlnm.Print_Area" localSheetId="4">Motorista!$A$1:$E$95</definedName>
    <definedName name="_xlnm.Print_Area" localSheetId="1">'TABELA DE VALORES POR TRECHO'!$A$1:$I$20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1" l="1"/>
  <c r="K53" i="1"/>
  <c r="E86" i="13"/>
  <c r="E93" i="13" s="1"/>
  <c r="E85" i="13"/>
  <c r="E81" i="13"/>
  <c r="D73" i="13"/>
  <c r="D77" i="13" s="1"/>
  <c r="E72" i="13"/>
  <c r="E73" i="13" s="1"/>
  <c r="E77" i="13" s="1"/>
  <c r="D66" i="13"/>
  <c r="D63" i="13"/>
  <c r="D69" i="13" s="1"/>
  <c r="D76" i="13" s="1"/>
  <c r="D59" i="13"/>
  <c r="D56" i="13"/>
  <c r="E45" i="13"/>
  <c r="D37" i="13"/>
  <c r="D58" i="13" s="1"/>
  <c r="D26" i="13"/>
  <c r="E18" i="13"/>
  <c r="E16" i="13"/>
  <c r="C3" i="13"/>
  <c r="E85" i="12"/>
  <c r="E81" i="12"/>
  <c r="E86" i="12" s="1"/>
  <c r="E93" i="12" s="1"/>
  <c r="D73" i="12"/>
  <c r="E72" i="12"/>
  <c r="E73" i="12" s="1"/>
  <c r="E77" i="12" s="1"/>
  <c r="D66" i="12"/>
  <c r="D63" i="12"/>
  <c r="D69" i="12" s="1"/>
  <c r="D76" i="12" s="1"/>
  <c r="D59" i="12"/>
  <c r="D58" i="12"/>
  <c r="E58" i="12" s="1"/>
  <c r="D56" i="12"/>
  <c r="E56" i="12" s="1"/>
  <c r="E45" i="12"/>
  <c r="E39" i="12"/>
  <c r="E47" i="12" s="1"/>
  <c r="E51" i="12" s="1"/>
  <c r="D37" i="12"/>
  <c r="D26" i="12"/>
  <c r="E19" i="12"/>
  <c r="E18" i="12"/>
  <c r="E21" i="12" s="1"/>
  <c r="E16" i="12"/>
  <c r="C3" i="12"/>
  <c r="D60" i="13" l="1"/>
  <c r="D78" i="13"/>
  <c r="E59" i="12"/>
  <c r="E57" i="12"/>
  <c r="E24" i="12"/>
  <c r="E89" i="12"/>
  <c r="E55" i="12"/>
  <c r="E60" i="12" s="1"/>
  <c r="E91" i="12" s="1"/>
  <c r="E25" i="12"/>
  <c r="D60" i="12"/>
  <c r="D77" i="12"/>
  <c r="D78" i="12" s="1"/>
  <c r="E19" i="13"/>
  <c r="E21" i="13" s="1"/>
  <c r="E39" i="13"/>
  <c r="E47" i="13" s="1"/>
  <c r="E51" i="13" s="1"/>
  <c r="K60" i="1"/>
  <c r="E57" i="13" l="1"/>
  <c r="E24" i="13"/>
  <c r="E89" i="13"/>
  <c r="E55" i="13"/>
  <c r="E25" i="13"/>
  <c r="E59" i="13"/>
  <c r="E58" i="13"/>
  <c r="E56" i="13"/>
  <c r="E26" i="12"/>
  <c r="O14" i="1"/>
  <c r="E13" i="1"/>
  <c r="E60" i="13" l="1"/>
  <c r="E91" i="13" s="1"/>
  <c r="E26" i="13"/>
  <c r="E49" i="12"/>
  <c r="E29" i="12"/>
  <c r="E30" i="12"/>
  <c r="E35" i="12"/>
  <c r="E34" i="12"/>
  <c r="E36" i="12"/>
  <c r="E32" i="12"/>
  <c r="E33" i="12"/>
  <c r="E31" i="12"/>
  <c r="O11" i="1"/>
  <c r="E49" i="13" l="1"/>
  <c r="E36" i="13"/>
  <c r="E33" i="13"/>
  <c r="E30" i="13"/>
  <c r="E29" i="13"/>
  <c r="E35" i="13"/>
  <c r="E32" i="13"/>
  <c r="E31" i="13"/>
  <c r="E34" i="13"/>
  <c r="E37" i="12"/>
  <c r="E50" i="12" s="1"/>
  <c r="E52" i="12" s="1"/>
  <c r="O16" i="1"/>
  <c r="E90" i="12" l="1"/>
  <c r="E63" i="12"/>
  <c r="E68" i="12"/>
  <c r="E67" i="12"/>
  <c r="E65" i="12"/>
  <c r="E64" i="12"/>
  <c r="E66" i="12"/>
  <c r="E37" i="13"/>
  <c r="E50" i="13" s="1"/>
  <c r="E52" i="13" s="1"/>
  <c r="O18" i="1"/>
  <c r="E16" i="1"/>
  <c r="E90" i="13" l="1"/>
  <c r="E65" i="13"/>
  <c r="E67" i="13"/>
  <c r="E63" i="13"/>
  <c r="E64" i="13"/>
  <c r="E66" i="13"/>
  <c r="E68" i="13"/>
  <c r="E69" i="12"/>
  <c r="E76" i="12" s="1"/>
  <c r="E78" i="12" s="1"/>
  <c r="E33" i="1"/>
  <c r="E69" i="13" l="1"/>
  <c r="E76" i="13" s="1"/>
  <c r="E78" i="13" s="1"/>
  <c r="E92" i="12"/>
  <c r="E94" i="12" s="1"/>
  <c r="E87" i="12"/>
  <c r="E38" i="1"/>
  <c r="E92" i="13" l="1"/>
  <c r="E94" i="13" s="1"/>
  <c r="E87" i="13"/>
  <c r="K39" i="1"/>
  <c r="K38" i="1"/>
  <c r="K62" i="1" l="1"/>
  <c r="K63" i="1"/>
  <c r="H20" i="5" l="1"/>
  <c r="E24" i="1"/>
  <c r="K40" i="1" s="1"/>
  <c r="K41" i="1" s="1"/>
  <c r="K42" i="1" l="1"/>
  <c r="H21" i="5"/>
  <c r="H22" i="5" s="1"/>
  <c r="H23" i="5" s="1"/>
  <c r="K51" i="1" s="1"/>
  <c r="K61" i="1"/>
  <c r="K43" i="1" l="1"/>
  <c r="C152" i="1"/>
  <c r="C132" i="1"/>
  <c r="C151" i="1"/>
  <c r="C131" i="1"/>
  <c r="C150" i="1"/>
  <c r="C130" i="1"/>
  <c r="C149" i="1"/>
  <c r="C129" i="1"/>
  <c r="C148" i="1"/>
  <c r="C128" i="1"/>
  <c r="C147" i="1"/>
  <c r="C127" i="1"/>
  <c r="C136" i="1"/>
  <c r="C135" i="1"/>
  <c r="C133" i="1"/>
  <c r="C159" i="1"/>
  <c r="C134" i="1"/>
  <c r="C158" i="1"/>
  <c r="C138" i="1"/>
  <c r="C126" i="1"/>
  <c r="C157" i="1"/>
  <c r="C137" i="1"/>
  <c r="C156" i="1"/>
  <c r="C155" i="1"/>
  <c r="C154" i="1"/>
  <c r="C153" i="1"/>
  <c r="K45" i="1"/>
  <c r="K57" i="1"/>
  <c r="K58" i="1"/>
  <c r="K59" i="1"/>
  <c r="J56" i="1"/>
  <c r="K56" i="1" s="1"/>
  <c r="K47" i="1" l="1"/>
  <c r="K64" i="1" l="1"/>
  <c r="F126" i="1" s="1"/>
  <c r="K66" i="1" l="1"/>
  <c r="K69" i="1" s="1"/>
  <c r="K70" i="1" s="1"/>
  <c r="F153" i="1"/>
  <c r="F136" i="1"/>
  <c r="F127" i="1"/>
  <c r="F159" i="1"/>
  <c r="F150" i="1"/>
  <c r="F133" i="1"/>
  <c r="F147" i="1"/>
  <c r="F130" i="1"/>
  <c r="F156" i="1"/>
  <c r="F131" i="1"/>
  <c r="F148" i="1"/>
  <c r="F128" i="1"/>
  <c r="I128" i="1" s="1"/>
  <c r="L128" i="1" s="1"/>
  <c r="F151" i="1"/>
  <c r="I151" i="1" s="1"/>
  <c r="F129" i="1"/>
  <c r="F149" i="1"/>
  <c r="I149" i="1" s="1"/>
  <c r="F152" i="1"/>
  <c r="I152" i="1" s="1"/>
  <c r="F158" i="1"/>
  <c r="I158" i="1" s="1"/>
  <c r="L158" i="1" s="1"/>
  <c r="F135" i="1"/>
  <c r="F134" i="1"/>
  <c r="F132" i="1"/>
  <c r="F155" i="1"/>
  <c r="F137" i="1"/>
  <c r="I137" i="1" s="1"/>
  <c r="L137" i="1" s="1"/>
  <c r="F138" i="1"/>
  <c r="F154" i="1"/>
  <c r="F157" i="1"/>
  <c r="L151" i="1" l="1"/>
  <c r="I11" i="7" s="1"/>
  <c r="I130" i="1"/>
  <c r="L130" i="1" s="1"/>
  <c r="H11" i="7" s="1"/>
  <c r="I159" i="1"/>
  <c r="L159" i="1" s="1"/>
  <c r="L149" i="1"/>
  <c r="I9" i="7" s="1"/>
  <c r="I129" i="1"/>
  <c r="L129" i="1" s="1"/>
  <c r="H10" i="7" s="1"/>
  <c r="H9" i="7"/>
  <c r="I127" i="1"/>
  <c r="L127" i="1" s="1"/>
  <c r="I155" i="1"/>
  <c r="L155" i="1" s="1"/>
  <c r="I131" i="1"/>
  <c r="L131" i="1" s="1"/>
  <c r="I133" i="1"/>
  <c r="L133" i="1" s="1"/>
  <c r="I150" i="1"/>
  <c r="L150" i="1" s="1"/>
  <c r="I132" i="1"/>
  <c r="L132" i="1" s="1"/>
  <c r="I138" i="1"/>
  <c r="L138" i="1" s="1"/>
  <c r="I134" i="1"/>
  <c r="L134" i="1" s="1"/>
  <c r="I126" i="1"/>
  <c r="L126" i="1" s="1"/>
  <c r="H7" i="7" s="1"/>
  <c r="I135" i="1"/>
  <c r="L135" i="1" s="1"/>
  <c r="I136" i="1"/>
  <c r="L136" i="1" s="1"/>
  <c r="I147" i="1"/>
  <c r="L147" i="1" s="1"/>
  <c r="I157" i="1"/>
  <c r="L157" i="1" s="1"/>
  <c r="H18" i="7"/>
  <c r="I148" i="1"/>
  <c r="L148" i="1" s="1"/>
  <c r="I153" i="1"/>
  <c r="L153" i="1" s="1"/>
  <c r="L152" i="1"/>
  <c r="I12" i="7" s="1"/>
  <c r="I156" i="1"/>
  <c r="L156" i="1" s="1"/>
  <c r="I18" i="7"/>
  <c r="I154" i="1"/>
  <c r="L154" i="1" s="1"/>
  <c r="K71" i="1"/>
  <c r="H16" i="7" l="1"/>
  <c r="I16" i="7"/>
  <c r="H19" i="7"/>
  <c r="I17" i="7"/>
  <c r="I13" i="7"/>
  <c r="I8" i="7"/>
  <c r="H13" i="7"/>
  <c r="H17" i="7"/>
  <c r="H14" i="7"/>
  <c r="I19" i="7"/>
  <c r="H15" i="7"/>
  <c r="I15" i="7"/>
  <c r="H12" i="7"/>
  <c r="I14" i="7"/>
  <c r="H8" i="7"/>
  <c r="I7" i="7"/>
  <c r="I10" i="7"/>
  <c r="K74" i="1"/>
  <c r="K75" i="1" s="1"/>
  <c r="K77" i="1" l="1"/>
  <c r="K76" i="1"/>
  <c r="K78" i="1" l="1"/>
  <c r="K84" i="1" s="1"/>
  <c r="K89" i="1" s="1"/>
  <c r="O20" i="1" s="1"/>
</calcChain>
</file>

<file path=xl/comments1.xml><?xml version="1.0" encoding="utf-8"?>
<comments xmlns="http://schemas.openxmlformats.org/spreadsheetml/2006/main">
  <authors>
    <author>61697605249</author>
  </authors>
  <commentList>
    <comment ref="H20" authorId="0" shapeId="0">
      <text>
        <r>
          <rPr>
            <b/>
            <sz val="9"/>
            <color indexed="81"/>
            <rFont val="Tahoma"/>
            <family val="2"/>
          </rPr>
          <t>61697605249: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Roger Martins Cardoso</author>
  </authors>
  <commentList>
    <comment ref="C4" authorId="0" shapeId="0">
      <text>
        <r>
          <rPr>
            <b/>
            <sz val="9"/>
            <color indexed="81"/>
            <rFont val="Segoe UI"/>
            <family val="2"/>
          </rPr>
          <t>Roger Martins Cardoso:</t>
        </r>
        <r>
          <rPr>
            <sz val="9"/>
            <color indexed="81"/>
            <rFont val="Segoe UI"/>
            <family val="2"/>
          </rPr>
          <t xml:space="preserve">
SINTRAAR</t>
        </r>
      </text>
    </comment>
    <comment ref="D18" authorId="0" shapeId="0">
      <text>
        <r>
          <rPr>
            <b/>
            <sz val="9"/>
            <color indexed="81"/>
            <rFont val="Segoe UI"/>
            <family val="2"/>
          </rPr>
          <t>Roger Martins Cardoso:</t>
        </r>
        <r>
          <rPr>
            <sz val="9"/>
            <color indexed="81"/>
            <rFont val="Segoe UI"/>
            <family val="2"/>
          </rPr>
          <t xml:space="preserve">
R$ 1.412,00</t>
        </r>
      </text>
    </comment>
    <comment ref="D66" authorId="0" shapeId="0">
      <text>
        <r>
          <rPr>
            <b/>
            <sz val="9"/>
            <color indexed="81"/>
            <rFont val="Segoe UI"/>
            <family val="2"/>
          </rPr>
          <t>Roger Martins Cardoso:</t>
        </r>
        <r>
          <rPr>
            <sz val="9"/>
            <color indexed="81"/>
            <rFont val="Segoe UI"/>
            <family val="2"/>
          </rPr>
          <t xml:space="preserve">
ACÓRDÃO 1904/2007 - PLENÁRIO TCU</t>
        </r>
      </text>
    </comment>
  </commentList>
</comments>
</file>

<file path=xl/comments3.xml><?xml version="1.0" encoding="utf-8"?>
<comments xmlns="http://schemas.openxmlformats.org/spreadsheetml/2006/main">
  <authors>
    <author>Roger Martins Cardoso</author>
  </authors>
  <commentList>
    <comment ref="C4" authorId="0" shapeId="0">
      <text>
        <r>
          <rPr>
            <b/>
            <sz val="9"/>
            <color indexed="81"/>
            <rFont val="Segoe UI"/>
            <family val="2"/>
          </rPr>
          <t>Roger Martins Cardoso:</t>
        </r>
        <r>
          <rPr>
            <sz val="9"/>
            <color indexed="81"/>
            <rFont val="Segoe UI"/>
            <family val="2"/>
          </rPr>
          <t xml:space="preserve">
SINTRAAR</t>
        </r>
      </text>
    </comment>
    <comment ref="D18" authorId="0" shapeId="0">
      <text>
        <r>
          <rPr>
            <b/>
            <sz val="9"/>
            <color indexed="81"/>
            <rFont val="Segoe UI"/>
            <family val="2"/>
          </rPr>
          <t>Roger Martins Cardoso:</t>
        </r>
        <r>
          <rPr>
            <sz val="9"/>
            <color indexed="81"/>
            <rFont val="Segoe UI"/>
            <family val="2"/>
          </rPr>
          <t xml:space="preserve">
R$ 1.412,00</t>
        </r>
      </text>
    </comment>
  </commentList>
</comments>
</file>

<file path=xl/sharedStrings.xml><?xml version="1.0" encoding="utf-8"?>
<sst xmlns="http://schemas.openxmlformats.org/spreadsheetml/2006/main" count="628" uniqueCount="322">
  <si>
    <t>valor FIPE</t>
  </si>
  <si>
    <t>PERCENTUAL DE DEPRECIAÇÃO</t>
  </si>
  <si>
    <t>DADOS DE RODAGEM</t>
  </si>
  <si>
    <t>DADOS DO COMBUSTÍVEL</t>
  </si>
  <si>
    <t xml:space="preserve">Iten 1.1 </t>
  </si>
  <si>
    <t xml:space="preserve">COEFICIENTE </t>
  </si>
  <si>
    <t>l/km</t>
  </si>
  <si>
    <t>Item 1.2</t>
  </si>
  <si>
    <t>Item 1.3</t>
  </si>
  <si>
    <t>RODAGEM                 CONSUMO:</t>
  </si>
  <si>
    <t xml:space="preserve">PREÇO DO PNEU:                                        </t>
  </si>
  <si>
    <t>por veículo, sem rodagem</t>
  </si>
  <si>
    <t xml:space="preserve">Nº DE PNEUS:                                                           </t>
  </si>
  <si>
    <t>Item 1.4</t>
  </si>
  <si>
    <t>por km</t>
  </si>
  <si>
    <t>KM</t>
  </si>
  <si>
    <t>DISTÂNCIA DA ROTA POR DIA:</t>
  </si>
  <si>
    <t>por mês</t>
  </si>
  <si>
    <t xml:space="preserve">CONSUMO:                                                             </t>
  </si>
  <si>
    <t>km/l</t>
  </si>
  <si>
    <t xml:space="preserve">PREÇO DO LITRO DO DIESEL:                       </t>
  </si>
  <si>
    <t xml:space="preserve">Item 1:            CUSTOS VARIÁVEIS </t>
  </si>
  <si>
    <t>ITEM 02:       CUSTOS FIXOS</t>
  </si>
  <si>
    <t>Item 2.1</t>
  </si>
  <si>
    <t>ANO DE FABRICAÇÃO:</t>
  </si>
  <si>
    <t>Despesa de Depreciação do veículo:</t>
  </si>
  <si>
    <t>Faixa de Idade</t>
  </si>
  <si>
    <t>Item 2.3</t>
  </si>
  <si>
    <t>Custo com Pessoal:</t>
  </si>
  <si>
    <t>Motorista:</t>
  </si>
  <si>
    <t>Monitor</t>
  </si>
  <si>
    <t>Item 2.4</t>
  </si>
  <si>
    <t>Subitem 2.3.1</t>
  </si>
  <si>
    <t>Subitem 2.3.2</t>
  </si>
  <si>
    <t>Subitem 2.4.1</t>
  </si>
  <si>
    <t>Tributos relativos ao veículo:</t>
  </si>
  <si>
    <t>IPVA: (1% sobre o valor do veículo):</t>
  </si>
  <si>
    <t>Subitem 2.4.2</t>
  </si>
  <si>
    <t xml:space="preserve">Licenciamento anual: </t>
  </si>
  <si>
    <t>Subitem 2.4.3</t>
  </si>
  <si>
    <t>Vistoria:</t>
  </si>
  <si>
    <t>Seguro DPVAT:</t>
  </si>
  <si>
    <t>Item 2.5</t>
  </si>
  <si>
    <t>Base de cálculo (Custos Váriaveis + Custo Fixo)</t>
  </si>
  <si>
    <t>TOTAL DOS CUSTOS FIXOS</t>
  </si>
  <si>
    <t>ISS</t>
  </si>
  <si>
    <t xml:space="preserve">PIS </t>
  </si>
  <si>
    <t>COFINS</t>
  </si>
  <si>
    <t>ALÍQUOTA</t>
  </si>
  <si>
    <t>TOTAL DE TRIBUTOS:</t>
  </si>
  <si>
    <t>CUSTO POR KM</t>
  </si>
  <si>
    <t>por Km</t>
  </si>
  <si>
    <t>VALOR DO INTINERÁRIO AO MÊS</t>
  </si>
  <si>
    <t xml:space="preserve">COMBUSTÍVEL          CONSUMO: </t>
  </si>
  <si>
    <t>Item 4.1</t>
  </si>
  <si>
    <t>Custo Indireto:</t>
  </si>
  <si>
    <t>PERCENTUAL</t>
  </si>
  <si>
    <t xml:space="preserve">TOTAL DO SERVIÇO PRESTADO: </t>
  </si>
  <si>
    <t>Item 2.6</t>
  </si>
  <si>
    <t>Custo de Lavagem do veículo</t>
  </si>
  <si>
    <t>Lucro Bruto:</t>
  </si>
  <si>
    <t>Item 2.7</t>
  </si>
  <si>
    <t>Item 2.8</t>
  </si>
  <si>
    <t>Seguro de Terceiros:</t>
  </si>
  <si>
    <t>TRANSPORTE ESCOLAR RURAL - CÁCULO DO CUSTO MENSAL POR QUILÔMETRO.</t>
  </si>
  <si>
    <t>ÔNIBUS:</t>
  </si>
  <si>
    <t xml:space="preserve">VALOR: </t>
  </si>
  <si>
    <t>VIDA ÚTIL:</t>
  </si>
  <si>
    <t>QUANTIDADE DE PNEUS:</t>
  </si>
  <si>
    <t>TIPO:</t>
  </si>
  <si>
    <t>Nº DE LUGARES:</t>
  </si>
  <si>
    <t>VIDA ÚTIL DO PNEU:</t>
  </si>
  <si>
    <t>PREÇO DO PNEU:</t>
  </si>
  <si>
    <t>CONSUMO:</t>
  </si>
  <si>
    <t>K/L</t>
  </si>
  <si>
    <t>MICRO ÔNIBUS</t>
  </si>
  <si>
    <t xml:space="preserve">QUANTIDADE DE PNEUS: </t>
  </si>
  <si>
    <t>VAN</t>
  </si>
  <si>
    <t>KOMBI</t>
  </si>
  <si>
    <t xml:space="preserve">IDADE DO VEÍCULO:                                                    </t>
  </si>
  <si>
    <t>Veículo:</t>
  </si>
  <si>
    <t>ANO DE FABRICAÇÃO</t>
  </si>
  <si>
    <t>VAN 2015</t>
  </si>
  <si>
    <t>KOMBI 2015</t>
  </si>
  <si>
    <t xml:space="preserve">Nº DE LUGARES:                                          </t>
  </si>
  <si>
    <t>ATÉ 36 VAN</t>
  </si>
  <si>
    <t>ATÉ 36 KIMBI</t>
  </si>
  <si>
    <t>VAN6</t>
  </si>
  <si>
    <t>KOMBI6</t>
  </si>
  <si>
    <t>VAN 80.000</t>
  </si>
  <si>
    <t>KOMBI 80.000</t>
  </si>
  <si>
    <t>TIPO DE VEÍCULO</t>
  </si>
  <si>
    <t>VIDA ÚTIL</t>
  </si>
  <si>
    <t>VEÍCULO NOVO</t>
  </si>
  <si>
    <t>(EM ANOS)</t>
  </si>
  <si>
    <t>VEÍCULO USADO</t>
  </si>
  <si>
    <t>VALOR RESIDUAL VEÍCULO NOVO</t>
  </si>
  <si>
    <t>(%)</t>
  </si>
  <si>
    <t>VAN, KOMBI E AUTOMÓVEL</t>
  </si>
  <si>
    <t>MICRO-ÔNIBUS E ÔNIBUS</t>
  </si>
  <si>
    <t>ONIBUS:</t>
  </si>
  <si>
    <t>Depreciação anual:</t>
  </si>
  <si>
    <t>Depreciação mensal:</t>
  </si>
  <si>
    <t>Valor Residual:</t>
  </si>
  <si>
    <t>VEíCULO NOVO:</t>
  </si>
  <si>
    <t>MÉTODO LINEAR:</t>
  </si>
  <si>
    <t>ÍNDICE RESIDUAL DO VEÍCULO:                               90%</t>
  </si>
  <si>
    <t>VEÍCULO NOVO:</t>
  </si>
  <si>
    <t>CLASSIFICAÇÃO DO VEÍCULO</t>
  </si>
  <si>
    <t>FABRICANTE</t>
  </si>
  <si>
    <t>MODELO</t>
  </si>
  <si>
    <t>Nº DE PASSAGEIROS</t>
  </si>
  <si>
    <t>MODELO PNEU</t>
  </si>
  <si>
    <t>PREÇO MÉDIO PNEU</t>
  </si>
  <si>
    <t>VIDA ÚTIL PNEU (KM RODADOS)</t>
  </si>
  <si>
    <t>TANQUE (LITROS)</t>
  </si>
  <si>
    <t>CONSUMO</t>
  </si>
  <si>
    <t>VOLKSWAGEN</t>
  </si>
  <si>
    <t>4,7 KM/L</t>
  </si>
  <si>
    <t>MARCOPOLO</t>
  </si>
  <si>
    <t>275/80 R 22,5</t>
  </si>
  <si>
    <t>MERCEDEZ BENZ</t>
  </si>
  <si>
    <t>Notas Explicativas:</t>
  </si>
  <si>
    <t xml:space="preserve">1) A categoria e a classificação dos veículos obedecem o descritivo do Caderno de Informações Técnicas Ônibus Rural Escolar, encontrado no site do Fundo Nacional de Desenvolvimento da Educação (FNDE): http://www.fnde.gov.br.   </t>
  </si>
  <si>
    <t>ATÉ 29 ALUNOS</t>
  </si>
  <si>
    <t>ATÉ 59 ALUNOS</t>
  </si>
  <si>
    <t>TRANSPOTE ESCOLAR - RONDÔNIA</t>
  </si>
  <si>
    <t>DEPRECIAÇÃO VEICULAR</t>
  </si>
  <si>
    <t>anos</t>
  </si>
  <si>
    <t>MÉTODO DE COLE</t>
  </si>
  <si>
    <t>LINEAR</t>
  </si>
  <si>
    <t>TOTAL:</t>
  </si>
  <si>
    <t>CUSTO VARIÁVEL + CUSTO FIXO</t>
  </si>
  <si>
    <t>ITEM 03: CUSTO INDIRETO E LUCRO</t>
  </si>
  <si>
    <t>ITEM 04: TRIBUTOS RELATIVOS AO FATUTRAMENTO</t>
  </si>
  <si>
    <t>Custos Váriaveis + Custos Fixos Custos Indiretos e Lucro + Tributos</t>
  </si>
  <si>
    <t>TRECHO PAVIMENTADO:</t>
  </si>
  <si>
    <t>TRECHO NÃO PAVIMENTADO:</t>
  </si>
  <si>
    <t>QUANTIDADE PERCORRIDA TRECHO PAVIMENTADO/MÊS:</t>
  </si>
  <si>
    <t>QUANTIDADE PERCORRIDA TRECHO NÃO PAVIMENTADO/MÊS:</t>
  </si>
  <si>
    <t>QUANTIDADE TOTAL DA ROTA MÊS:</t>
  </si>
  <si>
    <t xml:space="preserve">Valor do Intinerário / Quantidade de Km percorrida no mês (trecho pavimentado). </t>
  </si>
  <si>
    <t>Item 2.9</t>
  </si>
  <si>
    <t>Cronotacógrafo:</t>
  </si>
  <si>
    <t>TOTAL CUSTOS VARIÁVEIS - TRECHO PAVIMENTADO:</t>
  </si>
  <si>
    <t>TOTAL CUSTOS VARIÁVEIS - TRECHO NÃO PAVIMENTADO:</t>
  </si>
  <si>
    <t>TOTAL DO TRECHO (PAVIMENTADO + NÃO PAVIMENTADO):</t>
  </si>
  <si>
    <t>Nº DE RECAPAGENS:</t>
  </si>
  <si>
    <t>VALOR DA RECAPAGEM:</t>
  </si>
  <si>
    <t>VIDA ÚTIL DO PNEU COM AS RECAPAGENS:</t>
  </si>
  <si>
    <t xml:space="preserve">DADOS DO VEÍCULO:                                      </t>
  </si>
  <si>
    <r>
      <rPr>
        <b/>
        <sz val="22"/>
        <color theme="1"/>
        <rFont val="Calibri"/>
        <family val="2"/>
        <scheme val="minor"/>
      </rPr>
      <t>Estado de Rondônia</t>
    </r>
    <r>
      <rPr>
        <sz val="11"/>
        <color theme="1"/>
        <rFont val="Calibri"/>
        <family val="2"/>
        <scheme val="minor"/>
      </rPr>
      <t xml:space="preserve">
</t>
    </r>
  </si>
  <si>
    <t>VALORES - R$</t>
  </si>
  <si>
    <t>FAIXA POR KM</t>
  </si>
  <si>
    <t>Até 40 km</t>
  </si>
  <si>
    <t>41 a 50 km</t>
  </si>
  <si>
    <t>51 a 60 km</t>
  </si>
  <si>
    <t>61 a 70 km</t>
  </si>
  <si>
    <t>91 a 100 km</t>
  </si>
  <si>
    <t>101 a 110 km</t>
  </si>
  <si>
    <t>111 a 120 km</t>
  </si>
  <si>
    <t xml:space="preserve">121 a 130 km </t>
  </si>
  <si>
    <t>131 a 140 km</t>
  </si>
  <si>
    <t>141 a 150 km</t>
  </si>
  <si>
    <t>LUBRIFICANTES        CONSUMO:</t>
  </si>
  <si>
    <t>MANUTENÇÃO         CONSUMO:</t>
  </si>
  <si>
    <t>ORE 1 (4X4)</t>
  </si>
  <si>
    <t>ANOS</t>
  </si>
  <si>
    <t>ORE 1</t>
  </si>
  <si>
    <t>PAVIMENTADO</t>
  </si>
  <si>
    <t>NÃO PAVIMENTADO</t>
  </si>
  <si>
    <t>ORE 2</t>
  </si>
  <si>
    <t>ORE 3</t>
  </si>
  <si>
    <t>71 a 80 km</t>
  </si>
  <si>
    <t>81 a 90 km</t>
  </si>
  <si>
    <t>ÔNIBUS RURAL ESCOLAR - ORE 3</t>
  </si>
  <si>
    <t>ATA DE REGISTRO DE PREÇOS - FNDE</t>
  </si>
  <si>
    <t xml:space="preserve">VALOR DO VEÍCULO </t>
  </si>
  <si>
    <t>ÔNIBUS RURAL ESCOLAR - ORE 1 - com Dispositivo do tipo Poltrona Móvel, para embarque e desembarque de estudante com deficiência</t>
  </si>
  <si>
    <t>nº7/2018</t>
  </si>
  <si>
    <t>Volksbus 8160 ODR</t>
  </si>
  <si>
    <t xml:space="preserve"> 215/75R 17,5</t>
  </si>
  <si>
    <t>ÔNIBUS RURAL ESCOLAR - ORE 1 (4X4) - - com Dispositivo do tipo Poltrona Móvel, para embarque e desembarque de estudante com deficiência</t>
  </si>
  <si>
    <t>nº8/2018</t>
  </si>
  <si>
    <t>Volare V8L</t>
  </si>
  <si>
    <t xml:space="preserve"> 215/75R 17,6</t>
  </si>
  <si>
    <t>ÔNIBUS RURAL ESCOLAR - ORE 2 - com Dispositivo do tipo Poltrona Móvel, para embarque e desembarque de estudante com deficiência</t>
  </si>
  <si>
    <t>nº11/2018</t>
  </si>
  <si>
    <t>LO916</t>
  </si>
  <si>
    <t xml:space="preserve"> 215/75R x 17,5 </t>
  </si>
  <si>
    <t>2,60 KM/L</t>
  </si>
  <si>
    <t>ÔNIBUS RURAL ESCOLAR - ORE 3 - com Dispositivo do tipo Poltrona Móvel, para embarque e desembarque de estudante com deficiência</t>
  </si>
  <si>
    <t>Volksbus 15.190 ODR</t>
  </si>
  <si>
    <t xml:space="preserve">2) As Atas 11/2018, 7/108 e 8/2018 do FNDE para Registro de Preços de Ônibus Rural Escolar foram utilizadas para compor os preços dos veículos. </t>
  </si>
  <si>
    <t>3) Conforme Portaria nº12/GAB/SUPEL de 05/03/2013, para compor o preço médio do pneu foram consideradas cotações junto ao Banco de Preços e aos sites de domínio amplo.</t>
  </si>
  <si>
    <t xml:space="preserve">4) As especificações dos pneus encontram-se na descrição dos modelos de veículos registrados nas Atas de Preços do FNDE. </t>
  </si>
  <si>
    <t xml:space="preserve">5) Na estimação do valor do consumo de km/litro, foi utilizado o valor similar encontrado no CadTerc Vol. 4, referente à prestação de serviços de transporte de funcionários sob regime de fretamento contínuo (maio/2017). Segue em anexo essa estimação bem como sua fonte. </t>
  </si>
  <si>
    <t>Acima de 150 km</t>
  </si>
  <si>
    <t>TABELA DE VALOR REFERENCIAL PREÇO POR TRECHO</t>
  </si>
  <si>
    <t>REGIONAL - ARIQUEMES</t>
  </si>
  <si>
    <t>TRECHO PAVIMENTADO</t>
  </si>
  <si>
    <t>KM MAXIMO POR TRECHO</t>
  </si>
  <si>
    <t>CUSTO VARIAVEL</t>
  </si>
  <si>
    <t>CUSTOS INDIRETOS</t>
  </si>
  <si>
    <t>LUCRO</t>
  </si>
  <si>
    <t>TRIBUTOS</t>
  </si>
  <si>
    <t>TRECHO NÃO PAVIMENTADO</t>
  </si>
  <si>
    <t>VALOR TOTAL POR EMPREGADO</t>
  </si>
  <si>
    <t>Módulo 5 – Insumos Diversos</t>
  </si>
  <si>
    <t>E</t>
  </si>
  <si>
    <t>Módulo 4 – Custo de Reposição do Profissional Ausente</t>
  </si>
  <si>
    <t>D</t>
  </si>
  <si>
    <t>Módulo 3 – Provisão para Rescisão</t>
  </si>
  <si>
    <t>C</t>
  </si>
  <si>
    <t>Módulo 2 – Encargos e Benefícios Anuais, Mensais e Diários</t>
  </si>
  <si>
    <t>B</t>
  </si>
  <si>
    <t>Módulo 1 – Composição da Remuneração</t>
  </si>
  <si>
    <t>A</t>
  </si>
  <si>
    <t>Valor (R$)</t>
  </si>
  <si>
    <t>Mão-de-obra vinculada à execução contratual (valor por empregado)</t>
  </si>
  <si>
    <t>TOTAL</t>
  </si>
  <si>
    <t>TOTAL DOS ENCARGOS SOCIAIS E TRABALHISTAS</t>
  </si>
  <si>
    <t>TOTAL DO MÓDULO 5</t>
  </si>
  <si>
    <t>Outros  (Especificar)</t>
  </si>
  <si>
    <t>Equipamentos</t>
  </si>
  <si>
    <t xml:space="preserve">Materiais </t>
  </si>
  <si>
    <t>EPIs</t>
  </si>
  <si>
    <t xml:space="preserve">Uniformes </t>
  </si>
  <si>
    <t>INSUMOS DIVERSOS</t>
  </si>
  <si>
    <t xml:space="preserve"> MÓDULO 5 – INSUMOS DIVERSOS</t>
  </si>
  <si>
    <t>TOTAL DO MÓDULO 4</t>
  </si>
  <si>
    <t>Submódulo 4.2 - Intrajornada</t>
  </si>
  <si>
    <t>4.2</t>
  </si>
  <si>
    <t>Submódulo 4.1 - Ausências Legais</t>
  </si>
  <si>
    <t>4.1</t>
  </si>
  <si>
    <t>Módulo 4 – Encargos sociais e trabalhistas</t>
  </si>
  <si>
    <t xml:space="preserve"> QUADRO-RESUMO DO MÓDULO 4 - CUSTO DE REPOSIÇÃO DO PROFISSIONAL AUSENTE</t>
  </si>
  <si>
    <t>Intervalo para Repouso ou Alimentação</t>
  </si>
  <si>
    <t xml:space="preserve"> </t>
  </si>
  <si>
    <t>TOTAL DO SUBMÓDULO 4.1</t>
  </si>
  <si>
    <t>Outros</t>
  </si>
  <si>
    <t>F</t>
  </si>
  <si>
    <t>Substituto na Cobertura de Licença Maternidade</t>
  </si>
  <si>
    <t>Substituto na Cobertura Por Acidente de Trabalho</t>
  </si>
  <si>
    <t>Substituto na Cobertura de Licença Paternidade</t>
  </si>
  <si>
    <t>Substituto na Cobertura de Ausências Legais (por doença)</t>
  </si>
  <si>
    <t>Substituto na Cobertura de Férias (1/12 avos)</t>
  </si>
  <si>
    <t>MÓDULO 4 – CUSTO DE REPOSIÇÃO DO PROFISSIONAL AUSENTE</t>
  </si>
  <si>
    <t>Multa sobre FGTS e Contribuição Social sobre o Aviso Prévio Indenizado e sobre o Aviso Prévio Trabalhado. (Alterado Conf. Lei nº 13.932/2019)</t>
  </si>
  <si>
    <t>Incidência dos encargos do submódulo 2.2 sobre Aviso Prévio Trabalhado</t>
  </si>
  <si>
    <t>Aviso prévio trabalhado</t>
  </si>
  <si>
    <t>Incidência do FGTS sobre Aviso Prévio Indenizado</t>
  </si>
  <si>
    <t>Aviso Prévio Indenizado</t>
  </si>
  <si>
    <t>Provisão para Rescisão</t>
  </si>
  <si>
    <t>3.0</t>
  </si>
  <si>
    <t xml:space="preserve"> MÓDULO 3: PROVISÃO PARA RESCISÃO</t>
  </si>
  <si>
    <t>BENEFÍCIOS DIÁRIOS E MENSAIS</t>
  </si>
  <si>
    <t>2.3</t>
  </si>
  <si>
    <t>GPS, FGTS E OUTRAS CONTRIBUIÇÕES</t>
  </si>
  <si>
    <t>2.2</t>
  </si>
  <si>
    <t>13º SALÁRIO, FÉRIAS E ADICIONAL DE FÉRIAS</t>
  </si>
  <si>
    <t>2.1</t>
  </si>
  <si>
    <t xml:space="preserve"> Quadro-resumo do módulo 2-ENCARGOS E BENEFÍCIOS ANUAIS, MENSAIS E DIÁRIOS</t>
  </si>
  <si>
    <t>TOTAL DE BENEFÍCIOS MENSAIS E DIÁRIOS</t>
  </si>
  <si>
    <t xml:space="preserve">Seguro de vida </t>
  </si>
  <si>
    <t xml:space="preserve">BENEFÍCIOS MENSAIS E DIÁRIOS </t>
  </si>
  <si>
    <t>SEBRAE</t>
  </si>
  <si>
    <t>H</t>
  </si>
  <si>
    <t>RAT X SAT (Conforme GFIP)</t>
  </si>
  <si>
    <t>G</t>
  </si>
  <si>
    <t>FGTS</t>
  </si>
  <si>
    <t>SALÁRIO EDUCAÇÃO</t>
  </si>
  <si>
    <t>INCRA</t>
  </si>
  <si>
    <t>SENAI OU SENAC</t>
  </si>
  <si>
    <t>SESI OU SESC</t>
  </si>
  <si>
    <t>INSS</t>
  </si>
  <si>
    <t>Encargos previdenciários e FGTS</t>
  </si>
  <si>
    <t xml:space="preserve">Base de cálculo: De acordo com a instrução normativa nº 05/2017 anexo VII nota 3, a base de cálculo neste módulo deverá ser a soma: MÓDULO 1 + SUBMÓDULO 2.1. </t>
  </si>
  <si>
    <t>Férias (9,075%) e Adicional de Férias (TR x 3,025%)</t>
  </si>
  <si>
    <t>13 º Salário</t>
  </si>
  <si>
    <t>DÉCIMO TERCEIRO SALÁRIO, FÉRIAS E ADICIONAL DE FÉRIAS</t>
  </si>
  <si>
    <t xml:space="preserve"> MÓDULO 2: BENEFÍCIOS MENSAIS E DIÁRIOS</t>
  </si>
  <si>
    <t>TOTAL DA REMUNERAÇÃO</t>
  </si>
  <si>
    <t>20% sobre  a hora diurna</t>
  </si>
  <si>
    <t>Adicional Noturno</t>
  </si>
  <si>
    <t>Adicional de Insalubridade</t>
  </si>
  <si>
    <t>30% sobre o salário</t>
  </si>
  <si>
    <t>Adicional de Periculosidade</t>
  </si>
  <si>
    <t>Salário</t>
  </si>
  <si>
    <t>Composição da Remuneração</t>
  </si>
  <si>
    <t>MÓDULO 1 : COMPOSIÇÃO DA REMUNERAÇÃO</t>
  </si>
  <si>
    <t>Data base da categoria (dia/mês/ano)</t>
  </si>
  <si>
    <t>Categoria profissional (vinculada à execução contratual)</t>
  </si>
  <si>
    <t>Salário Normativo da Categoria Profissional</t>
  </si>
  <si>
    <t>Prestação de Serviços de Transporte Escolar</t>
  </si>
  <si>
    <t>Tipo de serviço (mesmo serviço com características distintas)</t>
  </si>
  <si>
    <t>Dados complementares para composição dos custos referente à mão-de-obra</t>
  </si>
  <si>
    <t>Mão-de-obra vinculada à execução contratual</t>
  </si>
  <si>
    <t>Anexo III-A – Mão-de-obra</t>
  </si>
  <si>
    <t>Identificação do Serviço</t>
  </si>
  <si>
    <r>
      <t>N</t>
    </r>
    <r>
      <rPr>
        <strike/>
        <sz val="10"/>
        <rFont val="Calibri"/>
        <family val="2"/>
        <scheme val="minor"/>
      </rPr>
      <t>º</t>
    </r>
    <r>
      <rPr>
        <sz val="10"/>
        <rFont val="Calibri"/>
        <family val="2"/>
        <scheme val="minor"/>
      </rPr>
      <t xml:space="preserve"> de meses de execução contratual</t>
    </r>
  </si>
  <si>
    <t>Ano Acordo, Convenção ou Sentença Normativa em Dissídio Coletivo</t>
  </si>
  <si>
    <t>ESPECIFICAÇÃO</t>
  </si>
  <si>
    <t>Data de apresentação da proposta (mês/ano)</t>
  </si>
  <si>
    <t>PLANILHA DE CUSTOS E FORMAÇÃO DE PREÇOS</t>
  </si>
  <si>
    <t>Monitor de Transporte Escolar</t>
  </si>
  <si>
    <t xml:space="preserve">VIDA ÚTIL DO VEÍCULO (ANOS):                                              </t>
  </si>
  <si>
    <t>XXX/2024</t>
  </si>
  <si>
    <t>Auxílio alimentação</t>
  </si>
  <si>
    <t>Auxílio creche</t>
  </si>
  <si>
    <t>Rastreamento e Monitoramento</t>
  </si>
  <si>
    <t>RO000169/2024</t>
  </si>
  <si>
    <t>§ 3º, CLÁUSULA SEGUNDA</t>
  </si>
  <si>
    <t>C.1</t>
  </si>
  <si>
    <t>MOTORISTA ESCOLAR</t>
  </si>
  <si>
    <t>SALÁRIO MÍN.</t>
  </si>
  <si>
    <t>Bônus assiduidade</t>
  </si>
  <si>
    <t>Transporte (CLÁUSULA DÉCIMA TERCEIRA CCT RO000169/2024)</t>
  </si>
  <si>
    <t>Cesta básica (documento SEI! 0045355108)</t>
  </si>
  <si>
    <t>Desconto Cesta básica § 1º, CLÁUSULA DÉCIMA SEGUNDA CCT RO000169/2024</t>
  </si>
  <si>
    <t>Assitência médica e familiar</t>
  </si>
  <si>
    <t>Contribuição Assistencial (CLÁUSULA TRIGÉSIMA QUARTA CCT RO000169/2024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</si>
</sst>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\-&quot;R$&quot;#,##0.00"/>
    <numFmt numFmtId="165" formatCode="&quot;R$&quot;\ #,##0.00"/>
    <numFmt numFmtId="166" formatCode="0.0000"/>
    <numFmt numFmtId="167" formatCode="&quot;R$&quot;#,##0.00"/>
    <numFmt numFmtId="168" formatCode="#,##0.000000"/>
    <numFmt numFmtId="169" formatCode="0.000%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sz val="11"/>
      <color indexed="53"/>
      <name val="Calibri"/>
      <family val="2"/>
    </font>
    <font>
      <b/>
      <sz val="11"/>
      <color indexed="53"/>
      <name val="Calibri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sz val="11"/>
      <color indexed="17"/>
      <name val="Calibri"/>
      <family val="2"/>
    </font>
    <font>
      <sz val="11"/>
      <color indexed="17"/>
      <name val="Calibri"/>
      <family val="2"/>
    </font>
    <font>
      <sz val="11"/>
      <color theme="6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strike/>
      <sz val="10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35" fillId="0" borderId="0"/>
    <xf numFmtId="0" fontId="35" fillId="0" borderId="0"/>
    <xf numFmtId="0" fontId="38" fillId="0" borderId="0" applyNumberFormat="0" applyFill="0" applyBorder="0" applyAlignment="0" applyProtection="0"/>
  </cellStyleXfs>
  <cellXfs count="329">
    <xf numFmtId="0" fontId="0" fillId="0" borderId="0" xfId="0"/>
    <xf numFmtId="0" fontId="4" fillId="0" borderId="0" xfId="0" applyFont="1"/>
    <xf numFmtId="165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6" borderId="0" xfId="0" applyFill="1"/>
    <xf numFmtId="0" fontId="0" fillId="7" borderId="0" xfId="0" applyFill="1"/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right"/>
    </xf>
    <xf numFmtId="0" fontId="1" fillId="7" borderId="0" xfId="0" applyFont="1" applyFill="1" applyAlignment="1">
      <alignment horizontal="left"/>
    </xf>
    <xf numFmtId="0" fontId="12" fillId="7" borderId="0" xfId="0" applyFont="1" applyFill="1"/>
    <xf numFmtId="3" fontId="1" fillId="7" borderId="0" xfId="0" applyNumberFormat="1" applyFont="1" applyFill="1" applyAlignment="1">
      <alignment horizontal="right"/>
    </xf>
    <xf numFmtId="0" fontId="2" fillId="0" borderId="0" xfId="0" applyFont="1"/>
    <xf numFmtId="3" fontId="1" fillId="7" borderId="0" xfId="0" applyNumberFormat="1" applyFont="1" applyFill="1"/>
    <xf numFmtId="165" fontId="1" fillId="7" borderId="0" xfId="0" applyNumberFormat="1" applyFont="1" applyFill="1" applyAlignment="1">
      <alignment horizontal="right"/>
    </xf>
    <xf numFmtId="0" fontId="0" fillId="0" borderId="8" xfId="0" applyBorder="1"/>
    <xf numFmtId="0" fontId="1" fillId="4" borderId="2" xfId="0" applyFont="1" applyFill="1" applyBorder="1"/>
    <xf numFmtId="0" fontId="1" fillId="4" borderId="4" xfId="0" applyFont="1" applyFill="1" applyBorder="1"/>
    <xf numFmtId="0" fontId="17" fillId="0" borderId="0" xfId="0" applyFont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7" fillId="8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5" fontId="1" fillId="7" borderId="0" xfId="0" applyNumberFormat="1" applyFont="1" applyFill="1"/>
    <xf numFmtId="165" fontId="1" fillId="0" borderId="0" xfId="0" applyNumberFormat="1" applyFont="1"/>
    <xf numFmtId="0" fontId="19" fillId="0" borderId="0" xfId="0" applyFont="1" applyProtection="1"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quotePrefix="1" applyFont="1" applyProtection="1">
      <protection hidden="1"/>
    </xf>
    <xf numFmtId="43" fontId="21" fillId="0" borderId="0" xfId="1" applyFont="1" applyProtection="1">
      <protection hidden="1"/>
    </xf>
    <xf numFmtId="4" fontId="22" fillId="0" borderId="0" xfId="0" applyNumberFormat="1" applyFont="1"/>
    <xf numFmtId="0" fontId="4" fillId="10" borderId="1" xfId="0" applyFont="1" applyFill="1" applyBorder="1"/>
    <xf numFmtId="0" fontId="0" fillId="10" borderId="1" xfId="0" applyFill="1" applyBorder="1"/>
    <xf numFmtId="0" fontId="7" fillId="0" borderId="0" xfId="2"/>
    <xf numFmtId="167" fontId="0" fillId="0" borderId="0" xfId="0" applyNumberFormat="1"/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/>
    <xf numFmtId="0" fontId="24" fillId="0" borderId="1" xfId="2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4" xfId="0" applyFont="1" applyBorder="1"/>
    <xf numFmtId="165" fontId="5" fillId="0" borderId="1" xfId="0" applyNumberFormat="1" applyFont="1" applyBorder="1"/>
    <xf numFmtId="165" fontId="3" fillId="4" borderId="1" xfId="0" applyNumberFormat="1" applyFont="1" applyFill="1" applyBorder="1" applyAlignment="1">
      <alignment vertical="center"/>
    </xf>
    <xf numFmtId="165" fontId="3" fillId="4" borderId="1" xfId="0" applyNumberFormat="1" applyFont="1" applyFill="1" applyBorder="1"/>
    <xf numFmtId="0" fontId="3" fillId="4" borderId="1" xfId="0" applyFont="1" applyFill="1" applyBorder="1"/>
    <xf numFmtId="0" fontId="27" fillId="10" borderId="0" xfId="0" applyFont="1" applyFill="1"/>
    <xf numFmtId="0" fontId="5" fillId="0" borderId="0" xfId="0" applyFont="1" applyAlignment="1">
      <alignment horizontal="center"/>
    </xf>
    <xf numFmtId="0" fontId="3" fillId="4" borderId="1" xfId="0" applyFont="1" applyFill="1" applyBorder="1" applyAlignment="1">
      <alignment vertical="center"/>
    </xf>
    <xf numFmtId="167" fontId="5" fillId="0" borderId="1" xfId="0" applyNumberFormat="1" applyFont="1" applyBorder="1"/>
    <xf numFmtId="167" fontId="5" fillId="0" borderId="1" xfId="0" applyNumberFormat="1" applyFont="1" applyBorder="1" applyAlignment="1">
      <alignment horizontal="center"/>
    </xf>
    <xf numFmtId="167" fontId="5" fillId="0" borderId="9" xfId="0" applyNumberFormat="1" applyFont="1" applyBorder="1"/>
    <xf numFmtId="10" fontId="5" fillId="0" borderId="1" xfId="0" applyNumberFormat="1" applyFont="1" applyBorder="1"/>
    <xf numFmtId="0" fontId="5" fillId="4" borderId="1" xfId="0" applyFont="1" applyFill="1" applyBorder="1"/>
    <xf numFmtId="10" fontId="5" fillId="0" borderId="7" xfId="0" applyNumberFormat="1" applyFont="1" applyBorder="1"/>
    <xf numFmtId="165" fontId="2" fillId="5" borderId="0" xfId="0" applyNumberFormat="1" applyFont="1" applyFill="1"/>
    <xf numFmtId="0" fontId="2" fillId="5" borderId="0" xfId="0" applyFont="1" applyFill="1"/>
    <xf numFmtId="165" fontId="2" fillId="4" borderId="1" xfId="0" applyNumberFormat="1" applyFont="1" applyFill="1" applyBorder="1"/>
    <xf numFmtId="167" fontId="2" fillId="4" borderId="1" xfId="0" applyNumberFormat="1" applyFont="1" applyFill="1" applyBorder="1"/>
    <xf numFmtId="167" fontId="2" fillId="12" borderId="1" xfId="0" applyNumberFormat="1" applyFont="1" applyFill="1" applyBorder="1"/>
    <xf numFmtId="164" fontId="2" fillId="4" borderId="4" xfId="0" applyNumberFormat="1" applyFont="1" applyFill="1" applyBorder="1" applyAlignment="1">
      <alignment vertical="center"/>
    </xf>
    <xf numFmtId="165" fontId="2" fillId="4" borderId="1" xfId="0" applyNumberFormat="1" applyFont="1" applyFill="1" applyBorder="1" applyAlignment="1">
      <alignment vertical="center"/>
    </xf>
    <xf numFmtId="167" fontId="1" fillId="7" borderId="0" xfId="0" applyNumberFormat="1" applyFont="1" applyFill="1"/>
    <xf numFmtId="168" fontId="5" fillId="0" borderId="1" xfId="0" applyNumberFormat="1" applyFont="1" applyBorder="1"/>
    <xf numFmtId="4" fontId="2" fillId="5" borderId="0" xfId="0" applyNumberFormat="1" applyFont="1" applyFill="1"/>
    <xf numFmtId="0" fontId="1" fillId="13" borderId="7" xfId="0" applyFont="1" applyFill="1" applyBorder="1" applyAlignment="1">
      <alignment horizontal="center" vertical="center" wrapText="1"/>
    </xf>
    <xf numFmtId="167" fontId="5" fillId="0" borderId="4" xfId="0" applyNumberFormat="1" applyFont="1" applyBorder="1"/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horizontal="center" vertical="center"/>
    </xf>
    <xf numFmtId="7" fontId="29" fillId="3" borderId="1" xfId="0" applyNumberFormat="1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17" fontId="17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/>
    <xf numFmtId="0" fontId="17" fillId="3" borderId="0" xfId="0" applyFont="1" applyFill="1"/>
    <xf numFmtId="0" fontId="16" fillId="3" borderId="0" xfId="0" applyFont="1" applyFill="1"/>
    <xf numFmtId="4" fontId="0" fillId="0" borderId="0" xfId="0" applyNumberFormat="1"/>
    <xf numFmtId="165" fontId="1" fillId="0" borderId="1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4" fontId="29" fillId="3" borderId="0" xfId="0" applyNumberFormat="1" applyFont="1" applyFill="1" applyAlignment="1">
      <alignment horizontal="justify" vertical="center"/>
    </xf>
    <xf numFmtId="0" fontId="29" fillId="3" borderId="0" xfId="0" applyFont="1" applyFill="1" applyAlignment="1">
      <alignment horizontal="justify" vertical="center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horizontal="center" vertical="center"/>
    </xf>
    <xf numFmtId="4" fontId="31" fillId="12" borderId="12" xfId="0" applyNumberFormat="1" applyFont="1" applyFill="1" applyBorder="1" applyAlignment="1">
      <alignment vertical="center"/>
    </xf>
    <xf numFmtId="4" fontId="31" fillId="3" borderId="16" xfId="0" applyNumberFormat="1" applyFont="1" applyFill="1" applyBorder="1" applyAlignment="1">
      <alignment vertical="center"/>
    </xf>
    <xf numFmtId="0" fontId="31" fillId="3" borderId="17" xfId="5" applyFont="1" applyFill="1" applyBorder="1" applyAlignment="1">
      <alignment horizontal="center" vertical="center" wrapText="1"/>
    </xf>
    <xf numFmtId="4" fontId="31" fillId="3" borderId="16" xfId="5" applyNumberFormat="1" applyFont="1" applyFill="1" applyBorder="1" applyAlignment="1">
      <alignment horizontal="center" vertical="center" wrapText="1"/>
    </xf>
    <xf numFmtId="4" fontId="31" fillId="12" borderId="16" xfId="0" applyNumberFormat="1" applyFont="1" applyFill="1" applyBorder="1" applyAlignment="1">
      <alignment vertical="center"/>
    </xf>
    <xf numFmtId="0" fontId="32" fillId="3" borderId="4" xfId="5" applyFont="1" applyFill="1" applyBorder="1" applyAlignment="1">
      <alignment horizontal="left" vertical="center" wrapText="1"/>
    </xf>
    <xf numFmtId="0" fontId="32" fillId="3" borderId="3" xfId="5" applyFont="1" applyFill="1" applyBorder="1" applyAlignment="1">
      <alignment horizontal="left" vertical="center" wrapText="1"/>
    </xf>
    <xf numFmtId="0" fontId="32" fillId="3" borderId="2" xfId="5" applyFont="1" applyFill="1" applyBorder="1" applyAlignment="1">
      <alignment horizontal="left" vertical="center" wrapText="1"/>
    </xf>
    <xf numFmtId="0" fontId="32" fillId="3" borderId="17" xfId="5" applyFont="1" applyFill="1" applyBorder="1" applyAlignment="1">
      <alignment horizontal="center" vertical="center" wrapText="1"/>
    </xf>
    <xf numFmtId="10" fontId="31" fillId="12" borderId="1" xfId="5" applyNumberFormat="1" applyFont="1" applyFill="1" applyBorder="1" applyAlignment="1">
      <alignment vertical="center" wrapText="1"/>
    </xf>
    <xf numFmtId="10" fontId="31" fillId="3" borderId="1" xfId="4" applyNumberFormat="1" applyFont="1" applyFill="1" applyBorder="1" applyAlignment="1">
      <alignment vertical="center"/>
    </xf>
    <xf numFmtId="10" fontId="31" fillId="12" borderId="1" xfId="4" applyNumberFormat="1" applyFont="1" applyFill="1" applyBorder="1" applyAlignment="1">
      <alignment vertical="center"/>
    </xf>
    <xf numFmtId="10" fontId="33" fillId="3" borderId="0" xfId="5" applyNumberFormat="1" applyFont="1" applyFill="1" applyAlignment="1">
      <alignment vertical="center" wrapText="1"/>
    </xf>
    <xf numFmtId="10" fontId="33" fillId="3" borderId="0" xfId="4" applyNumberFormat="1" applyFont="1" applyFill="1" applyBorder="1" applyAlignment="1">
      <alignment vertical="center"/>
    </xf>
    <xf numFmtId="10" fontId="0" fillId="0" borderId="0" xfId="4" applyNumberFormat="1" applyFont="1"/>
    <xf numFmtId="4" fontId="31" fillId="3" borderId="16" xfId="5" applyNumberFormat="1" applyFont="1" applyFill="1" applyBorder="1" applyAlignment="1">
      <alignment vertical="center" wrapText="1"/>
    </xf>
    <xf numFmtId="4" fontId="31" fillId="3" borderId="16" xfId="0" quotePrefix="1" applyNumberFormat="1" applyFont="1" applyFill="1" applyBorder="1" applyAlignment="1">
      <alignment vertical="center"/>
    </xf>
    <xf numFmtId="4" fontId="31" fillId="3" borderId="16" xfId="0" applyNumberFormat="1" applyFont="1" applyFill="1" applyBorder="1" applyAlignment="1">
      <alignment horizontal="right" vertical="center"/>
    </xf>
    <xf numFmtId="0" fontId="32" fillId="3" borderId="1" xfId="0" applyFont="1" applyFill="1" applyBorder="1" applyAlignment="1">
      <alignment vertical="center"/>
    </xf>
    <xf numFmtId="0" fontId="32" fillId="3" borderId="17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justify" vertical="center"/>
    </xf>
    <xf numFmtId="0" fontId="32" fillId="3" borderId="17" xfId="0" applyFont="1" applyFill="1" applyBorder="1" applyAlignment="1">
      <alignment horizontal="center" vertical="center"/>
    </xf>
    <xf numFmtId="0" fontId="32" fillId="3" borderId="1" xfId="6" applyFont="1" applyFill="1" applyBorder="1" applyAlignment="1">
      <alignment horizontal="justify" vertical="top" wrapText="1"/>
    </xf>
    <xf numFmtId="0" fontId="32" fillId="3" borderId="1" xfId="7" applyFont="1" applyFill="1" applyBorder="1" applyAlignment="1">
      <alignment horizontal="left" vertical="center" wrapText="1"/>
    </xf>
    <xf numFmtId="10" fontId="31" fillId="0" borderId="1" xfId="4" applyNumberFormat="1" applyFont="1" applyFill="1" applyBorder="1" applyAlignment="1">
      <alignment vertical="center"/>
    </xf>
    <xf numFmtId="4" fontId="31" fillId="0" borderId="16" xfId="0" applyNumberFormat="1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left"/>
    </xf>
    <xf numFmtId="0" fontId="0" fillId="10" borderId="7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11" fillId="5" borderId="0" xfId="0" applyFont="1" applyFill="1" applyAlignment="1">
      <alignment horizontal="center" wrapText="1"/>
    </xf>
    <xf numFmtId="0" fontId="25" fillId="2" borderId="2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5" fillId="2" borderId="1" xfId="0" applyFont="1" applyFill="1" applyBorder="1" applyAlignment="1">
      <alignment horizontal="left"/>
    </xf>
    <xf numFmtId="0" fontId="26" fillId="2" borderId="1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9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24" fillId="0" borderId="1" xfId="2" applyFont="1" applyBorder="1" applyAlignment="1">
      <alignment vertical="center"/>
    </xf>
    <xf numFmtId="0" fontId="1" fillId="7" borderId="0" xfId="0" applyFont="1" applyFill="1" applyAlignment="1">
      <alignment horizontal="right"/>
    </xf>
    <xf numFmtId="0" fontId="1" fillId="7" borderId="0" xfId="0" applyFont="1" applyFill="1" applyAlignment="1">
      <alignment horizontal="left"/>
    </xf>
    <xf numFmtId="165" fontId="1" fillId="7" borderId="0" xfId="0" applyNumberFormat="1" applyFont="1" applyFill="1" applyAlignment="1">
      <alignment horizontal="right"/>
    </xf>
    <xf numFmtId="0" fontId="2" fillId="7" borderId="0" xfId="0" applyFont="1" applyFill="1" applyAlignment="1">
      <alignment horizontal="center"/>
    </xf>
    <xf numFmtId="9" fontId="5" fillId="0" borderId="1" xfId="0" applyNumberFormat="1" applyFont="1" applyBorder="1" applyAlignment="1">
      <alignment horizontal="left"/>
    </xf>
    <xf numFmtId="10" fontId="5" fillId="0" borderId="1" xfId="0" applyNumberFormat="1" applyFont="1" applyBorder="1" applyAlignment="1">
      <alignment horizontal="left"/>
    </xf>
    <xf numFmtId="10" fontId="5" fillId="0" borderId="9" xfId="0" applyNumberFormat="1" applyFont="1" applyBorder="1" applyAlignment="1">
      <alignment horizontal="left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wrapText="1"/>
    </xf>
    <xf numFmtId="0" fontId="11" fillId="11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5" fillId="5" borderId="0" xfId="0" applyFont="1" applyFill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5" fontId="1" fillId="10" borderId="1" xfId="0" applyNumberFormat="1" applyFont="1" applyFill="1" applyBorder="1" applyAlignment="1">
      <alignment horizontal="right"/>
    </xf>
    <xf numFmtId="0" fontId="1" fillId="10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0" fillId="0" borderId="1" xfId="0" applyFont="1" applyBorder="1" applyAlignment="1" applyProtection="1">
      <alignment horizontal="center" wrapText="1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9" fontId="10" fillId="0" borderId="1" xfId="0" applyNumberFormat="1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8" fillId="9" borderId="1" xfId="0" applyFont="1" applyFill="1" applyBorder="1" applyAlignment="1" applyProtection="1">
      <alignment horizontal="center" wrapText="1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166" fontId="21" fillId="0" borderId="0" xfId="0" applyNumberFormat="1" applyFont="1" applyAlignment="1" applyProtection="1">
      <alignment horizontal="center"/>
      <protection hidden="1"/>
    </xf>
    <xf numFmtId="0" fontId="16" fillId="0" borderId="0" xfId="0" applyFont="1" applyAlignment="1">
      <alignment horizontal="left" vertical="top"/>
    </xf>
    <xf numFmtId="0" fontId="16" fillId="3" borderId="0" xfId="0" applyFont="1" applyFill="1" applyAlignment="1">
      <alignment horizontal="left" vertical="top" wrapText="1"/>
    </xf>
    <xf numFmtId="0" fontId="16" fillId="3" borderId="0" xfId="0" applyFont="1" applyFill="1" applyAlignment="1">
      <alignment horizontal="left" vertical="center" wrapText="1"/>
    </xf>
    <xf numFmtId="0" fontId="16" fillId="3" borderId="0" xfId="0" applyFont="1" applyFill="1" applyAlignment="1">
      <alignment horizontal="left" wrapText="1"/>
    </xf>
    <xf numFmtId="0" fontId="31" fillId="3" borderId="2" xfId="5" applyFont="1" applyFill="1" applyBorder="1" applyAlignment="1">
      <alignment horizontal="left" vertical="center" wrapText="1"/>
    </xf>
    <xf numFmtId="0" fontId="31" fillId="3" borderId="3" xfId="5" applyFont="1" applyFill="1" applyBorder="1" applyAlignment="1">
      <alignment horizontal="left" vertical="center" wrapText="1"/>
    </xf>
    <xf numFmtId="0" fontId="31" fillId="3" borderId="4" xfId="5" applyFont="1" applyFill="1" applyBorder="1" applyAlignment="1">
      <alignment horizontal="left" vertical="center" wrapText="1"/>
    </xf>
    <xf numFmtId="0" fontId="31" fillId="12" borderId="15" xfId="5" applyFont="1" applyFill="1" applyBorder="1" applyAlignment="1">
      <alignment horizontal="center" vertical="center" wrapText="1"/>
    </xf>
    <xf numFmtId="0" fontId="31" fillId="12" borderId="14" xfId="5" applyFont="1" applyFill="1" applyBorder="1" applyAlignment="1">
      <alignment horizontal="center" vertical="center" wrapText="1"/>
    </xf>
    <xf numFmtId="0" fontId="31" fillId="12" borderId="13" xfId="5" applyFont="1" applyFill="1" applyBorder="1" applyAlignment="1">
      <alignment horizontal="center" vertical="center" wrapText="1"/>
    </xf>
    <xf numFmtId="0" fontId="32" fillId="3" borderId="2" xfId="5" applyFont="1" applyFill="1" applyBorder="1" applyAlignment="1">
      <alignment horizontal="left" vertical="center" wrapText="1"/>
    </xf>
    <xf numFmtId="0" fontId="32" fillId="3" borderId="3" xfId="5" applyFont="1" applyFill="1" applyBorder="1" applyAlignment="1">
      <alignment horizontal="left" vertical="center" wrapText="1"/>
    </xf>
    <xf numFmtId="0" fontId="32" fillId="3" borderId="4" xfId="5" applyFont="1" applyFill="1" applyBorder="1" applyAlignment="1">
      <alignment horizontal="left" vertical="center" wrapText="1"/>
    </xf>
    <xf numFmtId="0" fontId="31" fillId="12" borderId="18" xfId="5" applyFont="1" applyFill="1" applyBorder="1" applyAlignment="1">
      <alignment horizontal="center" vertical="center" wrapText="1"/>
    </xf>
    <xf numFmtId="0" fontId="31" fillId="12" borderId="3" xfId="5" applyFont="1" applyFill="1" applyBorder="1" applyAlignment="1">
      <alignment horizontal="center" vertical="center" wrapText="1"/>
    </xf>
    <xf numFmtId="0" fontId="31" fillId="12" borderId="4" xfId="5" applyFont="1" applyFill="1" applyBorder="1" applyAlignment="1">
      <alignment horizontal="center" vertical="center" wrapText="1"/>
    </xf>
    <xf numFmtId="0" fontId="31" fillId="3" borderId="18" xfId="5" applyFont="1" applyFill="1" applyBorder="1" applyAlignment="1">
      <alignment horizontal="center" vertical="center" wrapText="1"/>
    </xf>
    <xf numFmtId="0" fontId="31" fillId="3" borderId="4" xfId="5" applyFont="1" applyFill="1" applyBorder="1" applyAlignment="1">
      <alignment horizontal="center" vertical="center" wrapText="1"/>
    </xf>
    <xf numFmtId="0" fontId="31" fillId="3" borderId="2" xfId="5" applyFont="1" applyFill="1" applyBorder="1" applyAlignment="1">
      <alignment horizontal="center" vertical="center" wrapText="1"/>
    </xf>
    <xf numFmtId="0" fontId="31" fillId="3" borderId="3" xfId="5" applyFont="1" applyFill="1" applyBorder="1" applyAlignment="1">
      <alignment horizontal="center" vertical="center" wrapText="1"/>
    </xf>
    <xf numFmtId="0" fontId="31" fillId="3" borderId="18" xfId="5" applyFont="1" applyFill="1" applyBorder="1" applyAlignment="1">
      <alignment horizontal="center" vertical="center"/>
    </xf>
    <xf numFmtId="0" fontId="31" fillId="3" borderId="3" xfId="5" applyFont="1" applyFill="1" applyBorder="1" applyAlignment="1">
      <alignment horizontal="center" vertical="center"/>
    </xf>
    <xf numFmtId="0" fontId="31" fillId="3" borderId="19" xfId="5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left" vertical="center" wrapText="1"/>
    </xf>
    <xf numFmtId="0" fontId="32" fillId="3" borderId="4" xfId="0" applyFont="1" applyFill="1" applyBorder="1" applyAlignment="1">
      <alignment horizontal="left" vertical="center" wrapText="1"/>
    </xf>
    <xf numFmtId="0" fontId="31" fillId="3" borderId="4" xfId="5" applyFont="1" applyFill="1" applyBorder="1" applyAlignment="1">
      <alignment horizontal="center" vertical="center"/>
    </xf>
    <xf numFmtId="0" fontId="31" fillId="12" borderId="18" xfId="5" applyFont="1" applyFill="1" applyBorder="1" applyAlignment="1">
      <alignment horizontal="right" vertical="center" wrapText="1"/>
    </xf>
    <xf numFmtId="0" fontId="31" fillId="12" borderId="3" xfId="5" applyFont="1" applyFill="1" applyBorder="1" applyAlignment="1">
      <alignment horizontal="right" vertical="center" wrapText="1"/>
    </xf>
    <xf numFmtId="0" fontId="31" fillId="12" borderId="4" xfId="5" applyFont="1" applyFill="1" applyBorder="1" applyAlignment="1">
      <alignment horizontal="right" vertical="center" wrapText="1"/>
    </xf>
    <xf numFmtId="0" fontId="31" fillId="3" borderId="2" xfId="5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left" vertical="center"/>
    </xf>
    <xf numFmtId="0" fontId="32" fillId="3" borderId="4" xfId="0" applyFont="1" applyFill="1" applyBorder="1" applyAlignment="1">
      <alignment horizontal="left" vertical="center"/>
    </xf>
    <xf numFmtId="0" fontId="32" fillId="3" borderId="2" xfId="8" applyFont="1" applyFill="1" applyBorder="1" applyAlignment="1" applyProtection="1">
      <alignment horizontal="left" vertical="center"/>
    </xf>
    <xf numFmtId="0" fontId="32" fillId="3" borderId="4" xfId="8" applyFont="1" applyFill="1" applyBorder="1" applyAlignment="1" applyProtection="1">
      <alignment horizontal="left" vertical="center"/>
    </xf>
    <xf numFmtId="0" fontId="32" fillId="12" borderId="4" xfId="0" applyFont="1" applyFill="1" applyBorder="1" applyAlignment="1">
      <alignment horizontal="center" vertical="center" wrapText="1"/>
    </xf>
    <xf numFmtId="0" fontId="34" fillId="3" borderId="18" xfId="5" applyFont="1" applyFill="1" applyBorder="1" applyAlignment="1">
      <alignment horizontal="center" vertical="center" wrapText="1"/>
    </xf>
    <xf numFmtId="0" fontId="34" fillId="3" borderId="3" xfId="5" applyFont="1" applyFill="1" applyBorder="1" applyAlignment="1">
      <alignment horizontal="center" vertical="center" wrapText="1"/>
    </xf>
    <xf numFmtId="0" fontId="34" fillId="3" borderId="19" xfId="5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justify" vertical="center"/>
    </xf>
    <xf numFmtId="0" fontId="32" fillId="3" borderId="4" xfId="0" applyFont="1" applyFill="1" applyBorder="1" applyAlignment="1">
      <alignment horizontal="justify" vertical="center"/>
    </xf>
    <xf numFmtId="169" fontId="31" fillId="3" borderId="2" xfId="4" applyNumberFormat="1" applyFont="1" applyFill="1" applyBorder="1" applyAlignment="1">
      <alignment horizontal="justify" vertical="center"/>
    </xf>
    <xf numFmtId="169" fontId="31" fillId="3" borderId="4" xfId="4" applyNumberFormat="1" applyFont="1" applyFill="1" applyBorder="1" applyAlignment="1">
      <alignment horizontal="justify" vertical="center"/>
    </xf>
    <xf numFmtId="0" fontId="31" fillId="3" borderId="23" xfId="7" applyFont="1" applyFill="1" applyBorder="1" applyAlignment="1">
      <alignment horizontal="center" vertical="center"/>
    </xf>
    <xf numFmtId="0" fontId="31" fillId="3" borderId="6" xfId="7" applyFont="1" applyFill="1" applyBorder="1" applyAlignment="1">
      <alignment horizontal="center" vertical="center"/>
    </xf>
    <xf numFmtId="0" fontId="31" fillId="3" borderId="22" xfId="7" applyFont="1" applyFill="1" applyBorder="1" applyAlignment="1">
      <alignment horizontal="center" vertical="center"/>
    </xf>
    <xf numFmtId="0" fontId="31" fillId="3" borderId="21" xfId="7" applyFont="1" applyFill="1" applyBorder="1" applyAlignment="1">
      <alignment horizontal="center" vertical="center"/>
    </xf>
    <xf numFmtId="0" fontId="31" fillId="3" borderId="10" xfId="7" applyFont="1" applyFill="1" applyBorder="1" applyAlignment="1">
      <alignment horizontal="center" vertical="center"/>
    </xf>
    <xf numFmtId="0" fontId="31" fillId="3" borderId="20" xfId="7" applyFont="1" applyFill="1" applyBorder="1" applyAlignment="1">
      <alignment horizontal="center" vertical="center"/>
    </xf>
    <xf numFmtId="0" fontId="32" fillId="3" borderId="2" xfId="6" applyFont="1" applyFill="1" applyBorder="1" applyAlignment="1">
      <alignment horizontal="right" vertical="center" wrapText="1"/>
    </xf>
    <xf numFmtId="0" fontId="32" fillId="3" borderId="3" xfId="6" applyFont="1" applyFill="1" applyBorder="1" applyAlignment="1">
      <alignment horizontal="right" vertical="center" wrapText="1"/>
    </xf>
    <xf numFmtId="0" fontId="32" fillId="3" borderId="19" xfId="6" applyFont="1" applyFill="1" applyBorder="1" applyAlignment="1">
      <alignment horizontal="right" vertical="center" wrapText="1"/>
    </xf>
    <xf numFmtId="14" fontId="32" fillId="3" borderId="2" xfId="0" applyNumberFormat="1" applyFont="1" applyFill="1" applyBorder="1" applyAlignment="1">
      <alignment horizontal="right" vertical="center"/>
    </xf>
    <xf numFmtId="14" fontId="32" fillId="3" borderId="3" xfId="0" applyNumberFormat="1" applyFont="1" applyFill="1" applyBorder="1" applyAlignment="1">
      <alignment horizontal="right" vertical="center"/>
    </xf>
    <xf numFmtId="14" fontId="32" fillId="3" borderId="19" xfId="0" applyNumberFormat="1" applyFont="1" applyFill="1" applyBorder="1" applyAlignment="1">
      <alignment horizontal="right" vertical="center"/>
    </xf>
    <xf numFmtId="0" fontId="37" fillId="2" borderId="26" xfId="7" applyFont="1" applyFill="1" applyBorder="1" applyAlignment="1">
      <alignment horizontal="center" vertical="center" wrapText="1"/>
    </xf>
    <xf numFmtId="0" fontId="37" fillId="2" borderId="25" xfId="7" applyFont="1" applyFill="1" applyBorder="1" applyAlignment="1">
      <alignment horizontal="center" vertical="center" wrapText="1"/>
    </xf>
    <xf numFmtId="0" fontId="37" fillId="2" borderId="24" xfId="7" applyFont="1" applyFill="1" applyBorder="1" applyAlignment="1">
      <alignment horizontal="center" vertical="center" wrapText="1"/>
    </xf>
    <xf numFmtId="49" fontId="32" fillId="3" borderId="2" xfId="7" applyNumberFormat="1" applyFont="1" applyFill="1" applyBorder="1" applyAlignment="1">
      <alignment horizontal="center" vertical="center" wrapText="1"/>
    </xf>
    <xf numFmtId="49" fontId="32" fillId="3" borderId="3" xfId="7" applyNumberFormat="1" applyFont="1" applyFill="1" applyBorder="1" applyAlignment="1">
      <alignment horizontal="center" vertical="center" wrapText="1"/>
    </xf>
    <xf numFmtId="49" fontId="32" fillId="3" borderId="19" xfId="7" applyNumberFormat="1" applyFont="1" applyFill="1" applyBorder="1" applyAlignment="1">
      <alignment horizontal="center" vertical="center" wrapText="1"/>
    </xf>
    <xf numFmtId="0" fontId="32" fillId="3" borderId="2" xfId="7" applyFont="1" applyFill="1" applyBorder="1" applyAlignment="1">
      <alignment horizontal="center" vertical="center" wrapText="1"/>
    </xf>
    <xf numFmtId="0" fontId="32" fillId="3" borderId="3" xfId="7" applyFont="1" applyFill="1" applyBorder="1" applyAlignment="1">
      <alignment horizontal="center" vertical="center" wrapText="1"/>
    </xf>
    <xf numFmtId="0" fontId="32" fillId="3" borderId="19" xfId="7" applyFont="1" applyFill="1" applyBorder="1" applyAlignment="1">
      <alignment horizontal="center" vertical="center" wrapText="1"/>
    </xf>
    <xf numFmtId="0" fontId="31" fillId="3" borderId="18" xfId="7" applyFont="1" applyFill="1" applyBorder="1" applyAlignment="1">
      <alignment horizontal="center" vertical="center"/>
    </xf>
    <xf numFmtId="0" fontId="31" fillId="3" borderId="3" xfId="7" applyFont="1" applyFill="1" applyBorder="1" applyAlignment="1">
      <alignment horizontal="center" vertical="center"/>
    </xf>
    <xf numFmtId="0" fontId="31" fillId="3" borderId="19" xfId="7" applyFont="1" applyFill="1" applyBorder="1" applyAlignment="1">
      <alignment horizontal="center" vertical="center"/>
    </xf>
    <xf numFmtId="0" fontId="32" fillId="0" borderId="17" xfId="5" applyFont="1" applyFill="1" applyBorder="1" applyAlignment="1">
      <alignment horizontal="center" vertical="center" wrapText="1"/>
    </xf>
    <xf numFmtId="0" fontId="32" fillId="0" borderId="2" xfId="5" applyFont="1" applyFill="1" applyBorder="1" applyAlignment="1">
      <alignment horizontal="left" vertical="center" wrapText="1"/>
    </xf>
    <xf numFmtId="0" fontId="32" fillId="0" borderId="4" xfId="5" applyFont="1" applyFill="1" applyBorder="1" applyAlignment="1">
      <alignment horizontal="left" vertical="center" wrapText="1"/>
    </xf>
    <xf numFmtId="4" fontId="31" fillId="0" borderId="16" xfId="0" applyNumberFormat="1" applyFont="1" applyFill="1" applyBorder="1" applyAlignment="1">
      <alignment vertical="center"/>
    </xf>
    <xf numFmtId="0" fontId="32" fillId="0" borderId="3" xfId="5" applyFont="1" applyFill="1" applyBorder="1" applyAlignment="1">
      <alignment horizontal="left" vertical="center" wrapText="1"/>
    </xf>
    <xf numFmtId="4" fontId="31" fillId="0" borderId="16" xfId="0" quotePrefix="1" applyNumberFormat="1" applyFont="1" applyFill="1" applyBorder="1" applyAlignment="1">
      <alignment horizontal="right" vertical="center"/>
    </xf>
    <xf numFmtId="4" fontId="31" fillId="0" borderId="16" xfId="0" applyNumberFormat="1" applyFont="1" applyFill="1" applyBorder="1" applyAlignment="1">
      <alignment horizontal="right" vertical="center"/>
    </xf>
    <xf numFmtId="0" fontId="32" fillId="0" borderId="2" xfId="5" applyFont="1" applyFill="1" applyBorder="1" applyAlignment="1">
      <alignment horizontal="left" vertical="center" wrapText="1"/>
    </xf>
    <xf numFmtId="0" fontId="32" fillId="0" borderId="3" xfId="5" applyFont="1" applyFill="1" applyBorder="1" applyAlignment="1">
      <alignment horizontal="left" vertical="center" wrapText="1"/>
    </xf>
    <xf numFmtId="0" fontId="32" fillId="0" borderId="4" xfId="5" applyFont="1" applyFill="1" applyBorder="1" applyAlignment="1">
      <alignment horizontal="left" vertical="center" wrapText="1"/>
    </xf>
    <xf numFmtId="0" fontId="32" fillId="0" borderId="2" xfId="5" applyFont="1" applyFill="1" applyBorder="1" applyAlignment="1">
      <alignment horizontal="center" vertical="center" wrapText="1"/>
    </xf>
    <xf numFmtId="0" fontId="32" fillId="0" borderId="3" xfId="5" applyFont="1" applyFill="1" applyBorder="1" applyAlignment="1">
      <alignment horizontal="center" vertical="center" wrapText="1"/>
    </xf>
    <xf numFmtId="0" fontId="32" fillId="0" borderId="4" xfId="5" applyFont="1" applyFill="1" applyBorder="1" applyAlignment="1">
      <alignment horizontal="center" vertical="center" wrapText="1"/>
    </xf>
    <xf numFmtId="0" fontId="32" fillId="0" borderId="2" xfId="5" applyFont="1" applyFill="1" applyBorder="1" applyAlignment="1">
      <alignment vertical="center" wrapText="1"/>
    </xf>
    <xf numFmtId="0" fontId="32" fillId="0" borderId="3" xfId="5" applyFont="1" applyFill="1" applyBorder="1" applyAlignment="1">
      <alignment vertical="center" wrapText="1"/>
    </xf>
    <xf numFmtId="0" fontId="32" fillId="0" borderId="4" xfId="5" applyFont="1" applyFill="1" applyBorder="1" applyAlignment="1">
      <alignment vertical="center" wrapText="1"/>
    </xf>
    <xf numFmtId="0" fontId="32" fillId="0" borderId="2" xfId="0" applyFont="1" applyFill="1" applyBorder="1" applyAlignment="1">
      <alignment horizontal="left" vertical="center"/>
    </xf>
    <xf numFmtId="0" fontId="32" fillId="0" borderId="4" xfId="0" applyFont="1" applyFill="1" applyBorder="1" applyAlignment="1">
      <alignment horizontal="left" vertical="center"/>
    </xf>
    <xf numFmtId="0" fontId="32" fillId="0" borderId="17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vertical="center" wrapText="1"/>
    </xf>
    <xf numFmtId="10" fontId="31" fillId="0" borderId="2" xfId="4" applyNumberFormat="1" applyFont="1" applyFill="1" applyBorder="1" applyAlignment="1">
      <alignment horizontal="center" vertical="center"/>
    </xf>
    <xf numFmtId="169" fontId="31" fillId="0" borderId="4" xfId="4" applyNumberFormat="1" applyFont="1" applyFill="1" applyBorder="1" applyAlignment="1">
      <alignment vertical="center"/>
    </xf>
    <xf numFmtId="4" fontId="31" fillId="0" borderId="16" xfId="0" quotePrefix="1" applyNumberFormat="1" applyFont="1" applyFill="1" applyBorder="1" applyAlignment="1">
      <alignment vertical="center"/>
    </xf>
    <xf numFmtId="0" fontId="32" fillId="0" borderId="1" xfId="0" applyFont="1" applyFill="1" applyBorder="1" applyAlignment="1">
      <alignment vertical="center"/>
    </xf>
    <xf numFmtId="169" fontId="31" fillId="0" borderId="2" xfId="4" applyNumberFormat="1" applyFont="1" applyFill="1" applyBorder="1" applyAlignment="1">
      <alignment horizontal="justify" vertical="center"/>
    </xf>
    <xf numFmtId="169" fontId="31" fillId="0" borderId="4" xfId="4" applyNumberFormat="1" applyFont="1" applyFill="1" applyBorder="1" applyAlignment="1">
      <alignment horizontal="justify" vertical="center"/>
    </xf>
    <xf numFmtId="0" fontId="32" fillId="0" borderId="17" xfId="0" applyFont="1" applyFill="1" applyBorder="1" applyAlignment="1">
      <alignment horizontal="center" vertical="center"/>
    </xf>
    <xf numFmtId="0" fontId="32" fillId="0" borderId="1" xfId="6" applyFont="1" applyFill="1" applyBorder="1" applyAlignment="1">
      <alignment horizontal="justify" vertical="center" wrapText="1"/>
    </xf>
    <xf numFmtId="4" fontId="31" fillId="0" borderId="2" xfId="4" applyNumberFormat="1" applyFont="1" applyFill="1" applyBorder="1" applyAlignment="1">
      <alignment vertical="center"/>
    </xf>
    <xf numFmtId="4" fontId="31" fillId="0" borderId="3" xfId="4" applyNumberFormat="1" applyFont="1" applyFill="1" applyBorder="1" applyAlignment="1">
      <alignment vertical="center"/>
    </xf>
    <xf numFmtId="44" fontId="31" fillId="0" borderId="19" xfId="3" applyFont="1" applyFill="1" applyBorder="1" applyAlignment="1">
      <alignment horizontal="right" vertical="center" wrapText="1"/>
    </xf>
    <xf numFmtId="0" fontId="32" fillId="0" borderId="1" xfId="7" applyFont="1" applyFill="1" applyBorder="1" applyAlignment="1">
      <alignment horizontal="left" vertical="center" wrapText="1"/>
    </xf>
    <xf numFmtId="0" fontId="32" fillId="0" borderId="2" xfId="7" applyFont="1" applyFill="1" applyBorder="1" applyAlignment="1">
      <alignment horizontal="center" vertical="center" wrapText="1"/>
    </xf>
    <xf numFmtId="0" fontId="32" fillId="0" borderId="3" xfId="7" applyFont="1" applyFill="1" applyBorder="1" applyAlignment="1">
      <alignment horizontal="center" vertical="center" wrapText="1"/>
    </xf>
    <xf numFmtId="0" fontId="32" fillId="0" borderId="19" xfId="7" applyFont="1" applyFill="1" applyBorder="1" applyAlignment="1">
      <alignment horizontal="center" vertical="center" wrapText="1"/>
    </xf>
  </cellXfs>
  <cellStyles count="9">
    <cellStyle name="Hiperlink 2" xfId="8"/>
    <cellStyle name="Moeda" xfId="3" builtinId="4"/>
    <cellStyle name="Normal" xfId="0" builtinId="0"/>
    <cellStyle name="Normal 2" xfId="5"/>
    <cellStyle name="Normal 4" xfId="7"/>
    <cellStyle name="Normal 5" xfId="6"/>
    <cellStyle name="Normal_PLANILHA%20DE%20COMPOSIÇÃO%20DE%20CUSTO%20UNITARIO%20semed%202013%20helber(1)" xfId="2"/>
    <cellStyle name="Porcentagem" xfId="4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638175</xdr:colOff>
      <xdr:row>6</xdr:row>
      <xdr:rowOff>180975</xdr:rowOff>
    </xdr:to>
    <xdr:pic>
      <xdr:nvPicPr>
        <xdr:cNvPr id="2" name="Imagem 4" descr="brasa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2096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6</xdr:row>
      <xdr:rowOff>57150</xdr:rowOff>
    </xdr:to>
    <xdr:pic>
      <xdr:nvPicPr>
        <xdr:cNvPr id="2" name="Imagem 4" descr="brasa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96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MISS&#195;O%20AP\transporte%20escolar\Planilhas%20-%20Atualiza&#231;&#227;o\Planilhas%20-%20Atualiza&#231;&#227;o\00%20-%20CUSTOS%20COM%20PESSOAL%20-%20TRANSPORTE%20ESCOLAR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2"/>
      <sheetName val="Plan3"/>
      <sheetName val="resumo"/>
      <sheetName val="Motorista de Veiculo Pesado"/>
      <sheetName val="Monitor de Transporte escolar"/>
      <sheetName val="Uniformes"/>
    </sheetNames>
    <sheetDataSet>
      <sheetData sheetId="0"/>
      <sheetData sheetId="1"/>
      <sheetData sheetId="2"/>
      <sheetData sheetId="3"/>
      <sheetData sheetId="4"/>
      <sheetData sheetId="5">
        <row r="9">
          <cell r="D9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../../../../../../../../../../../../../../AppData/Local/Temp/17%20Instrucao%20Normativa%2002_2008%20Servicos%20Continuados/0%20LEGISLACAO%20GERAL/IN%2003_2005%20MSP_SRP/AnexoII_IN03.rtf" TargetMode="External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../../../../../../../../../../../../../../AppData/Local/Temp/17%20Instrucao%20Normativa%2002_2008%20Servicos%20Continuados/0%20LEGISLACAO%20GERAL/IN%2003_2005%20MSP_SRP/AnexoII_IN03.rtf" TargetMode="Externa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59"/>
  <sheetViews>
    <sheetView view="pageBreakPreview" topLeftCell="B73" zoomScaleNormal="100" zoomScaleSheetLayoutView="100" workbookViewId="0">
      <selection activeCell="K55" sqref="K55"/>
    </sheetView>
  </sheetViews>
  <sheetFormatPr defaultColWidth="8.85546875" defaultRowHeight="15" x14ac:dyDescent="0.25"/>
  <cols>
    <col min="2" max="2" width="14.140625" customWidth="1"/>
    <col min="3" max="3" width="15.28515625" customWidth="1"/>
    <col min="5" max="5" width="12.42578125" customWidth="1"/>
    <col min="6" max="6" width="13.5703125" customWidth="1"/>
    <col min="7" max="7" width="12.140625" customWidth="1"/>
    <col min="9" max="9" width="10.7109375" customWidth="1"/>
    <col min="10" max="10" width="12" customWidth="1"/>
    <col min="11" max="11" width="16.42578125" bestFit="1" customWidth="1"/>
    <col min="12" max="12" width="14.42578125" customWidth="1"/>
    <col min="14" max="14" width="6.42578125" customWidth="1"/>
    <col min="15" max="15" width="9" customWidth="1"/>
    <col min="16" max="16" width="10.42578125" customWidth="1"/>
    <col min="17" max="17" width="15.140625" customWidth="1"/>
  </cols>
  <sheetData>
    <row r="2" spans="1:16" x14ac:dyDescent="0.25">
      <c r="C2" s="165" t="s">
        <v>151</v>
      </c>
      <c r="D2" s="166"/>
      <c r="E2" s="166"/>
      <c r="F2" s="166"/>
    </row>
    <row r="3" spans="1:16" x14ac:dyDescent="0.25">
      <c r="C3" s="166"/>
      <c r="D3" s="166"/>
      <c r="E3" s="166"/>
      <c r="F3" s="166"/>
      <c r="H3" s="167" t="s">
        <v>64</v>
      </c>
      <c r="I3" s="165"/>
      <c r="J3" s="165"/>
      <c r="K3" s="165"/>
      <c r="L3" s="165"/>
      <c r="M3" s="165"/>
      <c r="N3" s="165"/>
      <c r="O3" s="165"/>
      <c r="P3" s="165"/>
    </row>
    <row r="4" spans="1:16" x14ac:dyDescent="0.25">
      <c r="C4" s="166"/>
      <c r="D4" s="166"/>
      <c r="E4" s="166"/>
      <c r="F4" s="166"/>
      <c r="H4" s="165"/>
      <c r="I4" s="165"/>
      <c r="J4" s="165"/>
      <c r="K4" s="165"/>
      <c r="L4" s="165"/>
      <c r="M4" s="165"/>
      <c r="N4" s="165"/>
      <c r="O4" s="165"/>
      <c r="P4" s="165"/>
    </row>
    <row r="5" spans="1:16" x14ac:dyDescent="0.25">
      <c r="C5" s="166"/>
      <c r="D5" s="166"/>
      <c r="E5" s="166"/>
      <c r="F5" s="166"/>
      <c r="H5" s="165"/>
      <c r="I5" s="165"/>
      <c r="J5" s="165"/>
      <c r="K5" s="165"/>
      <c r="L5" s="165"/>
      <c r="M5" s="165"/>
      <c r="N5" s="165"/>
      <c r="O5" s="165"/>
      <c r="P5" s="165"/>
    </row>
    <row r="6" spans="1:16" x14ac:dyDescent="0.25">
      <c r="C6" s="166"/>
      <c r="D6" s="166"/>
      <c r="E6" s="166"/>
      <c r="F6" s="166"/>
    </row>
    <row r="7" spans="1:16" ht="21" x14ac:dyDescent="0.35">
      <c r="E7" s="18" t="s">
        <v>80</v>
      </c>
      <c r="F7" s="177" t="s">
        <v>65</v>
      </c>
      <c r="G7" s="177"/>
      <c r="H7" s="177"/>
      <c r="K7" s="163" t="s">
        <v>199</v>
      </c>
      <c r="L7" s="164"/>
      <c r="M7" s="164"/>
      <c r="N7" s="164"/>
    </row>
    <row r="8" spans="1:16" ht="15.75" x14ac:dyDescent="0.25">
      <c r="B8" s="178"/>
      <c r="C8" s="178"/>
      <c r="D8" s="8"/>
      <c r="E8" s="8"/>
      <c r="F8" s="8"/>
      <c r="J8" s="9"/>
    </row>
    <row r="9" spans="1:16" ht="21" x14ac:dyDescent="0.35">
      <c r="C9" s="8"/>
      <c r="D9" s="8"/>
      <c r="E9" s="8"/>
      <c r="F9" s="8"/>
      <c r="I9" s="191" t="s">
        <v>175</v>
      </c>
      <c r="J9" s="191"/>
      <c r="K9" s="191"/>
      <c r="L9" s="191"/>
      <c r="M9" s="191"/>
      <c r="N9" s="191"/>
      <c r="O9" s="191"/>
      <c r="P9" s="191"/>
    </row>
    <row r="11" spans="1:16" ht="17.25" x14ac:dyDescent="0.3">
      <c r="A11" s="168" t="s">
        <v>150</v>
      </c>
      <c r="B11" s="169"/>
      <c r="C11" s="169"/>
      <c r="D11" s="169"/>
      <c r="E11" s="169"/>
      <c r="F11" s="170"/>
      <c r="G11" s="40" t="s">
        <v>0</v>
      </c>
      <c r="K11" s="145" t="s">
        <v>16</v>
      </c>
      <c r="L11" s="145"/>
      <c r="M11" s="145"/>
      <c r="N11" s="145"/>
      <c r="O11" s="46">
        <f>O12+O13</f>
        <v>0</v>
      </c>
      <c r="P11" s="47" t="s">
        <v>15</v>
      </c>
    </row>
    <row r="12" spans="1:16" ht="15.75" x14ac:dyDescent="0.25">
      <c r="A12" s="138" t="s">
        <v>107</v>
      </c>
      <c r="B12" s="139"/>
      <c r="C12" s="139"/>
      <c r="D12" s="48"/>
      <c r="E12" s="160">
        <v>469499</v>
      </c>
      <c r="F12" s="160"/>
      <c r="G12" s="1"/>
      <c r="K12" s="145" t="s">
        <v>136</v>
      </c>
      <c r="L12" s="145"/>
      <c r="M12" s="145"/>
      <c r="N12" s="145"/>
      <c r="O12" s="46">
        <v>0</v>
      </c>
      <c r="P12" s="47" t="s">
        <v>15</v>
      </c>
    </row>
    <row r="13" spans="1:16" ht="15.75" x14ac:dyDescent="0.25">
      <c r="A13" s="138" t="s">
        <v>306</v>
      </c>
      <c r="B13" s="139"/>
      <c r="C13" s="139"/>
      <c r="D13" s="140"/>
      <c r="E13" s="141">
        <f>'DEPRECIAÇÃO LINEAR'!D15</f>
        <v>10</v>
      </c>
      <c r="F13" s="141"/>
      <c r="K13" s="145" t="s">
        <v>137</v>
      </c>
      <c r="L13" s="145"/>
      <c r="M13" s="145"/>
      <c r="N13" s="145"/>
      <c r="O13" s="46">
        <v>0</v>
      </c>
      <c r="P13" s="47" t="s">
        <v>15</v>
      </c>
    </row>
    <row r="14" spans="1:16" ht="15" customHeight="1" x14ac:dyDescent="0.25">
      <c r="A14" s="138" t="s">
        <v>24</v>
      </c>
      <c r="B14" s="139"/>
      <c r="C14" s="139"/>
      <c r="D14" s="140"/>
      <c r="E14" s="147">
        <v>2023</v>
      </c>
      <c r="F14" s="148"/>
      <c r="K14" s="146" t="s">
        <v>138</v>
      </c>
      <c r="L14" s="146"/>
      <c r="M14" s="146"/>
      <c r="N14" s="146"/>
      <c r="O14" s="179">
        <f>O12*21</f>
        <v>0</v>
      </c>
      <c r="P14" s="181" t="s">
        <v>15</v>
      </c>
    </row>
    <row r="15" spans="1:16" ht="15.75" customHeight="1" x14ac:dyDescent="0.25">
      <c r="A15" s="49" t="s">
        <v>79</v>
      </c>
      <c r="B15" s="48"/>
      <c r="C15" s="48"/>
      <c r="D15" s="48"/>
      <c r="E15" s="141">
        <v>0</v>
      </c>
      <c r="F15" s="141"/>
      <c r="G15" s="41" t="s">
        <v>128</v>
      </c>
      <c r="I15" s="28"/>
      <c r="J15" s="28"/>
      <c r="K15" s="146"/>
      <c r="L15" s="146"/>
      <c r="M15" s="146"/>
      <c r="N15" s="146"/>
      <c r="O15" s="180"/>
      <c r="P15" s="181"/>
    </row>
    <row r="16" spans="1:16" ht="15" customHeight="1" x14ac:dyDescent="0.25">
      <c r="A16" s="138" t="s">
        <v>84</v>
      </c>
      <c r="B16" s="139"/>
      <c r="C16" s="139"/>
      <c r="D16" s="139"/>
      <c r="E16" s="141" t="str">
        <f>IF($F$7=$D$94,F103,IF($F$7=$D$106,F115,IF($F$7=$N$94,Q103,IF($F$7=$O$106,P115,""))))</f>
        <v>ATÉ 59 ALUNOS</v>
      </c>
      <c r="F16" s="141"/>
      <c r="I16" s="28"/>
      <c r="J16" s="28"/>
      <c r="K16" s="146" t="s">
        <v>139</v>
      </c>
      <c r="L16" s="146"/>
      <c r="M16" s="146"/>
      <c r="N16" s="146"/>
      <c r="O16" s="179">
        <f>O13*21</f>
        <v>0</v>
      </c>
      <c r="P16" s="181" t="s">
        <v>15</v>
      </c>
    </row>
    <row r="17" spans="1:22" ht="15" customHeight="1" x14ac:dyDescent="0.35">
      <c r="I17" s="28"/>
      <c r="J17" s="28"/>
      <c r="K17" s="146"/>
      <c r="L17" s="146"/>
      <c r="M17" s="146"/>
      <c r="N17" s="146"/>
      <c r="O17" s="180"/>
      <c r="P17" s="181"/>
      <c r="T17" s="177"/>
      <c r="U17" s="177"/>
      <c r="V17" s="177"/>
    </row>
    <row r="18" spans="1:22" ht="15" customHeight="1" x14ac:dyDescent="0.25">
      <c r="I18" s="28"/>
      <c r="J18" s="28"/>
      <c r="K18" s="146" t="s">
        <v>140</v>
      </c>
      <c r="L18" s="146"/>
      <c r="M18" s="146"/>
      <c r="N18" s="146"/>
      <c r="O18" s="46">
        <f>O16+O14</f>
        <v>0</v>
      </c>
      <c r="P18" s="47" t="s">
        <v>15</v>
      </c>
    </row>
    <row r="19" spans="1:22" ht="15.75" customHeight="1" x14ac:dyDescent="0.3">
      <c r="A19" s="143" t="s">
        <v>1</v>
      </c>
      <c r="B19" s="144"/>
      <c r="C19" s="144"/>
      <c r="D19" s="144"/>
      <c r="E19" s="144"/>
      <c r="F19" s="144"/>
      <c r="I19" s="29"/>
      <c r="J19" s="29"/>
      <c r="K19" s="29"/>
      <c r="L19" s="29"/>
      <c r="M19" s="29"/>
    </row>
    <row r="20" spans="1:22" ht="15" customHeight="1" x14ac:dyDescent="0.25">
      <c r="A20" s="145" t="s">
        <v>106</v>
      </c>
      <c r="B20" s="145"/>
      <c r="C20" s="145"/>
      <c r="D20" s="145"/>
      <c r="E20" s="145"/>
      <c r="F20" s="145"/>
      <c r="I20" s="28"/>
      <c r="J20" s="28"/>
      <c r="K20" s="28"/>
      <c r="L20" s="28"/>
      <c r="M20" s="28"/>
      <c r="O20" s="98" t="e">
        <f>K89</f>
        <v>#DIV/0!</v>
      </c>
    </row>
    <row r="21" spans="1:22" x14ac:dyDescent="0.25">
      <c r="O21" s="2"/>
    </row>
    <row r="23" spans="1:22" ht="17.25" x14ac:dyDescent="0.3">
      <c r="A23" s="143" t="s">
        <v>2</v>
      </c>
      <c r="B23" s="144"/>
      <c r="C23" s="144"/>
      <c r="D23" s="144"/>
      <c r="E23" s="144"/>
      <c r="F23" s="144"/>
      <c r="L23" s="2"/>
    </row>
    <row r="24" spans="1:22" ht="15.75" x14ac:dyDescent="0.25">
      <c r="A24" s="138" t="s">
        <v>12</v>
      </c>
      <c r="B24" s="139"/>
      <c r="C24" s="139"/>
      <c r="D24" s="139"/>
      <c r="E24" s="141">
        <f>IF($F$7=$D$94,F99,IF($F$7=$D$106,F111,IF($F$7=$N$94,Q99,IF($F$7=$O$106,P111,""))))</f>
        <v>6</v>
      </c>
      <c r="F24" s="141"/>
    </row>
    <row r="25" spans="1:22" ht="15.75" x14ac:dyDescent="0.25">
      <c r="A25" s="138" t="s">
        <v>10</v>
      </c>
      <c r="B25" s="139"/>
      <c r="C25" s="139"/>
      <c r="D25" s="140"/>
      <c r="E25" s="160">
        <v>1914.83</v>
      </c>
      <c r="F25" s="160"/>
    </row>
    <row r="26" spans="1:22" ht="15.75" x14ac:dyDescent="0.25">
      <c r="A26" s="138" t="s">
        <v>147</v>
      </c>
      <c r="B26" s="139"/>
      <c r="C26" s="139"/>
      <c r="D26" s="140"/>
      <c r="E26" s="147">
        <v>2</v>
      </c>
      <c r="F26" s="148"/>
    </row>
    <row r="27" spans="1:22" ht="15.75" x14ac:dyDescent="0.25">
      <c r="A27" s="138" t="s">
        <v>148</v>
      </c>
      <c r="B27" s="139"/>
      <c r="C27" s="139"/>
      <c r="D27" s="140"/>
      <c r="E27" s="149">
        <v>540</v>
      </c>
      <c r="F27" s="150"/>
    </row>
    <row r="28" spans="1:22" ht="15.75" x14ac:dyDescent="0.25">
      <c r="A28" s="138" t="s">
        <v>149</v>
      </c>
      <c r="B28" s="139"/>
      <c r="C28" s="139"/>
      <c r="D28" s="140"/>
      <c r="E28" s="142">
        <v>100000</v>
      </c>
      <c r="F28" s="142"/>
    </row>
    <row r="31" spans="1:22" ht="15.75" x14ac:dyDescent="0.25">
      <c r="A31" s="152" t="s">
        <v>3</v>
      </c>
      <c r="B31" s="174"/>
      <c r="C31" s="174"/>
      <c r="D31" s="174"/>
      <c r="E31" s="174"/>
      <c r="F31" s="174"/>
    </row>
    <row r="32" spans="1:22" ht="15.75" x14ac:dyDescent="0.25">
      <c r="A32" s="138" t="s">
        <v>20</v>
      </c>
      <c r="B32" s="139"/>
      <c r="C32" s="139"/>
      <c r="D32" s="140"/>
      <c r="E32" s="160">
        <v>6.34</v>
      </c>
      <c r="F32" s="160"/>
    </row>
    <row r="33" spans="1:14" ht="15.75" x14ac:dyDescent="0.25">
      <c r="A33" s="138" t="s">
        <v>18</v>
      </c>
      <c r="B33" s="139"/>
      <c r="C33" s="139"/>
      <c r="D33" s="140"/>
      <c r="E33" s="46">
        <f>IF($F$7=$D$94,G102,IF($F$7=$D$106,G114,IF($F$7=$N$94,Q102,IF($F$7=$O$106,Q114,""))))</f>
        <v>2.6</v>
      </c>
      <c r="F33" s="50" t="s">
        <v>19</v>
      </c>
    </row>
    <row r="36" spans="1:14" ht="17.25" x14ac:dyDescent="0.3">
      <c r="A36" s="175" t="s">
        <v>21</v>
      </c>
      <c r="B36" s="176"/>
      <c r="C36" s="176"/>
      <c r="D36" s="176"/>
      <c r="E36" s="176"/>
    </row>
    <row r="37" spans="1:14" x14ac:dyDescent="0.25">
      <c r="B37" s="158"/>
      <c r="C37" s="158"/>
      <c r="D37" s="159"/>
      <c r="E37" s="156" t="s">
        <v>5</v>
      </c>
      <c r="F37" s="157"/>
    </row>
    <row r="38" spans="1:14" ht="15.75" x14ac:dyDescent="0.25">
      <c r="A38" s="46" t="s">
        <v>4</v>
      </c>
      <c r="B38" s="138" t="s">
        <v>53</v>
      </c>
      <c r="C38" s="139"/>
      <c r="D38" s="140"/>
      <c r="E38" s="46">
        <f>1/E33</f>
        <v>0.38461538461538458</v>
      </c>
      <c r="F38" s="7" t="s">
        <v>6</v>
      </c>
      <c r="G38" s="7"/>
      <c r="H38" s="7"/>
      <c r="I38" s="7"/>
      <c r="J38" s="7"/>
      <c r="K38" s="58">
        <f>E32*E38</f>
        <v>2.4384615384615382</v>
      </c>
      <c r="L38" s="51" t="s">
        <v>14</v>
      </c>
      <c r="N38" s="2"/>
    </row>
    <row r="39" spans="1:14" ht="15.75" x14ac:dyDescent="0.25">
      <c r="A39" s="46" t="s">
        <v>7</v>
      </c>
      <c r="B39" s="145" t="s">
        <v>164</v>
      </c>
      <c r="C39" s="145"/>
      <c r="D39" s="145"/>
      <c r="E39" s="46">
        <v>0.04</v>
      </c>
      <c r="F39" s="7" t="s">
        <v>6</v>
      </c>
      <c r="G39" s="7"/>
      <c r="H39" s="7"/>
      <c r="I39" s="7"/>
      <c r="J39" s="7"/>
      <c r="K39" s="58">
        <f>E39*E32</f>
        <v>0.25359999999999999</v>
      </c>
      <c r="L39" s="51" t="s">
        <v>14</v>
      </c>
    </row>
    <row r="40" spans="1:14" ht="15.75" x14ac:dyDescent="0.25">
      <c r="A40" s="46" t="s">
        <v>8</v>
      </c>
      <c r="B40" s="145" t="s">
        <v>9</v>
      </c>
      <c r="C40" s="145"/>
      <c r="D40" s="145"/>
      <c r="E40" s="46"/>
      <c r="F40" s="7"/>
      <c r="G40" s="7"/>
      <c r="H40" s="7"/>
      <c r="I40" s="7"/>
      <c r="J40" s="7"/>
      <c r="K40" s="58">
        <f>((E25*E24)+(E26*E24*E27))/E28</f>
        <v>0.17968979999999998</v>
      </c>
      <c r="L40" s="51" t="s">
        <v>14</v>
      </c>
    </row>
    <row r="41" spans="1:14" ht="15.75" x14ac:dyDescent="0.25">
      <c r="A41" s="46" t="s">
        <v>13</v>
      </c>
      <c r="B41" s="145" t="s">
        <v>165</v>
      </c>
      <c r="C41" s="145"/>
      <c r="D41" s="145"/>
      <c r="E41" s="72">
        <v>3.0000000000000001E-6</v>
      </c>
      <c r="F41" s="153" t="s">
        <v>11</v>
      </c>
      <c r="G41" s="153"/>
      <c r="H41" s="153"/>
      <c r="I41" s="7"/>
      <c r="J41" s="7"/>
      <c r="K41" s="58">
        <f>(E41*E12)-(K40)</f>
        <v>1.2288072000000001</v>
      </c>
      <c r="L41" s="51" t="s">
        <v>14</v>
      </c>
    </row>
    <row r="42" spans="1:14" ht="15.75" x14ac:dyDescent="0.25">
      <c r="A42" s="173"/>
      <c r="B42" s="173"/>
      <c r="C42" s="173"/>
      <c r="D42" s="173"/>
      <c r="E42" s="173"/>
      <c r="F42" s="7"/>
      <c r="G42" s="7"/>
      <c r="H42" s="7"/>
      <c r="I42" s="7"/>
      <c r="J42" s="7"/>
      <c r="K42" s="58">
        <f>SUM(K38:K41)</f>
        <v>4.1005585384615379</v>
      </c>
      <c r="L42" s="51" t="s">
        <v>14</v>
      </c>
    </row>
    <row r="43" spans="1:14" ht="21" customHeight="1" x14ac:dyDescent="0.25">
      <c r="A43" s="151" t="s">
        <v>144</v>
      </c>
      <c r="B43" s="151"/>
      <c r="C43" s="151"/>
      <c r="D43" s="151"/>
      <c r="E43" s="151"/>
      <c r="F43" s="151"/>
      <c r="G43" s="151"/>
      <c r="H43" s="151"/>
      <c r="I43" s="151"/>
      <c r="J43" s="151"/>
      <c r="K43" s="70">
        <f>K42*O14</f>
        <v>0</v>
      </c>
      <c r="L43" s="52" t="s">
        <v>17</v>
      </c>
    </row>
    <row r="45" spans="1:14" ht="18.75" x14ac:dyDescent="0.3">
      <c r="A45" s="161" t="s">
        <v>145</v>
      </c>
      <c r="B45" s="161"/>
      <c r="C45" s="161"/>
      <c r="D45" s="161"/>
      <c r="E45" s="161"/>
      <c r="F45" s="161"/>
      <c r="G45" s="161"/>
      <c r="H45" s="161"/>
      <c r="I45" s="161"/>
      <c r="J45" s="161"/>
      <c r="K45" s="67">
        <f>K42*O16*1.154</f>
        <v>0</v>
      </c>
      <c r="L45" s="53" t="s">
        <v>17</v>
      </c>
    </row>
    <row r="46" spans="1:14" ht="15.75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4" ht="18.75" x14ac:dyDescent="0.3">
      <c r="A47" s="161" t="s">
        <v>146</v>
      </c>
      <c r="B47" s="161"/>
      <c r="C47" s="161"/>
      <c r="D47" s="161"/>
      <c r="E47" s="161"/>
      <c r="F47" s="161"/>
      <c r="G47" s="161"/>
      <c r="H47" s="161"/>
      <c r="I47" s="161"/>
      <c r="J47" s="161"/>
      <c r="K47" s="67">
        <f>K43+K45</f>
        <v>0</v>
      </c>
      <c r="L47" s="54" t="s">
        <v>17</v>
      </c>
    </row>
    <row r="49" spans="1:13" ht="15.75" x14ac:dyDescent="0.25">
      <c r="A49" s="171" t="s">
        <v>22</v>
      </c>
      <c r="B49" s="172"/>
      <c r="C49" s="172"/>
      <c r="D49" s="172"/>
      <c r="E49" s="172"/>
      <c r="F49" s="7"/>
      <c r="G49" s="7"/>
      <c r="H49" s="7"/>
      <c r="I49" s="7"/>
      <c r="J49" s="7"/>
      <c r="K49" s="7"/>
      <c r="L49" s="7"/>
    </row>
    <row r="50" spans="1:13" ht="15.75" x14ac:dyDescent="0.25">
      <c r="A50" s="3"/>
      <c r="B50" s="45"/>
      <c r="C50" s="45"/>
      <c r="D50" s="45"/>
      <c r="E50" s="45"/>
      <c r="F50" s="7"/>
      <c r="G50" s="7"/>
      <c r="H50" s="194" t="s">
        <v>26</v>
      </c>
      <c r="I50" s="194"/>
      <c r="J50" s="7"/>
      <c r="K50" s="7"/>
      <c r="L50" s="7"/>
    </row>
    <row r="51" spans="1:13" ht="15.75" x14ac:dyDescent="0.25">
      <c r="A51" s="7" t="s">
        <v>23</v>
      </c>
      <c r="B51" s="7"/>
      <c r="C51" s="153" t="s">
        <v>25</v>
      </c>
      <c r="D51" s="153"/>
      <c r="E51" s="153"/>
      <c r="F51" s="153"/>
      <c r="G51" s="7"/>
      <c r="H51" s="154"/>
      <c r="I51" s="154"/>
      <c r="J51" s="58"/>
      <c r="K51" s="59">
        <f>IF(L51="LINEAR",'DEPRECIAÇÃO LINEAR'!H23,(VLOOKUP(E15,'DEPRECIAÇÃO LINEAR'!W12:AM25,17,0)))</f>
        <v>3521.2424999999998</v>
      </c>
      <c r="L51" s="55" t="s">
        <v>130</v>
      </c>
    </row>
    <row r="52" spans="1:13" ht="15.75" x14ac:dyDescent="0.25">
      <c r="A52" s="7" t="s">
        <v>27</v>
      </c>
      <c r="B52" s="7"/>
      <c r="C52" s="153" t="s">
        <v>28</v>
      </c>
      <c r="D52" s="153"/>
      <c r="E52" s="153"/>
      <c r="F52" s="153"/>
      <c r="G52" s="7"/>
      <c r="H52" s="7"/>
      <c r="I52" s="7"/>
      <c r="J52" s="58"/>
      <c r="K52" s="58"/>
      <c r="L52" s="7"/>
    </row>
    <row r="53" spans="1:13" ht="15.75" x14ac:dyDescent="0.25">
      <c r="A53" s="7"/>
      <c r="B53" s="7" t="s">
        <v>32</v>
      </c>
      <c r="C53" s="153" t="s">
        <v>29</v>
      </c>
      <c r="D53" s="153"/>
      <c r="E53" s="153"/>
      <c r="F53" s="153"/>
      <c r="G53" s="7"/>
      <c r="H53" s="7"/>
      <c r="I53" s="7"/>
      <c r="J53" s="58"/>
      <c r="K53" s="58">
        <f>Motorista!E94</f>
        <v>4750.6900156356669</v>
      </c>
      <c r="L53" s="7"/>
    </row>
    <row r="54" spans="1:13" ht="15.75" x14ac:dyDescent="0.25">
      <c r="A54" s="7"/>
      <c r="B54" s="7" t="s">
        <v>33</v>
      </c>
      <c r="C54" s="153" t="s">
        <v>30</v>
      </c>
      <c r="D54" s="153"/>
      <c r="E54" s="153"/>
      <c r="F54" s="153"/>
      <c r="G54" s="7"/>
      <c r="H54" s="7"/>
      <c r="I54" s="7"/>
      <c r="J54" s="58"/>
      <c r="K54" s="58">
        <f>Monitor!E94</f>
        <v>3825.1942093236667</v>
      </c>
      <c r="L54" s="7"/>
    </row>
    <row r="55" spans="1:13" ht="15.75" x14ac:dyDescent="0.25">
      <c r="A55" s="7" t="s">
        <v>31</v>
      </c>
      <c r="B55" s="7"/>
      <c r="C55" s="153" t="s">
        <v>35</v>
      </c>
      <c r="D55" s="153"/>
      <c r="E55" s="153"/>
      <c r="F55" s="153"/>
      <c r="G55" s="7"/>
      <c r="H55" s="7"/>
      <c r="I55" s="7"/>
      <c r="J55" s="58"/>
      <c r="K55" s="58"/>
      <c r="L55" s="56"/>
    </row>
    <row r="56" spans="1:13" ht="15.75" x14ac:dyDescent="0.25">
      <c r="A56" s="7"/>
      <c r="B56" s="7" t="s">
        <v>34</v>
      </c>
      <c r="C56" s="7" t="s">
        <v>36</v>
      </c>
      <c r="D56" s="7"/>
      <c r="E56" s="7"/>
      <c r="F56" s="7"/>
      <c r="G56" s="7"/>
      <c r="H56" s="7"/>
      <c r="I56" s="7"/>
      <c r="J56" s="58">
        <f>1/100*E12</f>
        <v>4694.99</v>
      </c>
      <c r="K56" s="58">
        <f>J56/12</f>
        <v>391.24916666666667</v>
      </c>
      <c r="L56" s="7"/>
    </row>
    <row r="57" spans="1:13" ht="15.75" x14ac:dyDescent="0.25">
      <c r="A57" s="7"/>
      <c r="B57" s="7" t="s">
        <v>37</v>
      </c>
      <c r="C57" s="7" t="s">
        <v>38</v>
      </c>
      <c r="D57" s="7"/>
      <c r="E57" s="7"/>
      <c r="F57" s="7"/>
      <c r="G57" s="7"/>
      <c r="H57" s="7"/>
      <c r="I57" s="7"/>
      <c r="J57" s="58">
        <v>120.64</v>
      </c>
      <c r="K57" s="58">
        <f>J57/12</f>
        <v>10.053333333333333</v>
      </c>
      <c r="L57" s="7"/>
    </row>
    <row r="58" spans="1:13" ht="15.75" x14ac:dyDescent="0.25">
      <c r="A58" s="7"/>
      <c r="B58" s="7" t="s">
        <v>39</v>
      </c>
      <c r="C58" s="153" t="s">
        <v>40</v>
      </c>
      <c r="D58" s="153"/>
      <c r="E58" s="153"/>
      <c r="F58" s="153"/>
      <c r="G58" s="7"/>
      <c r="H58" s="7"/>
      <c r="I58" s="7"/>
      <c r="J58" s="58">
        <v>50.21</v>
      </c>
      <c r="K58" s="58">
        <f>J58/12</f>
        <v>4.184166666666667</v>
      </c>
      <c r="L58" s="7"/>
    </row>
    <row r="59" spans="1:13" ht="15.75" x14ac:dyDescent="0.25">
      <c r="A59" s="7" t="s">
        <v>42</v>
      </c>
      <c r="B59" s="7"/>
      <c r="C59" s="7" t="s">
        <v>41</v>
      </c>
      <c r="D59" s="7"/>
      <c r="E59" s="7"/>
      <c r="F59" s="7"/>
      <c r="G59" s="7"/>
      <c r="H59" s="7"/>
      <c r="I59" s="7"/>
      <c r="J59" s="58">
        <v>247.42</v>
      </c>
      <c r="K59" s="58">
        <f>J59/12</f>
        <v>20.618333333333332</v>
      </c>
      <c r="L59" s="7"/>
    </row>
    <row r="60" spans="1:13" ht="15.75" x14ac:dyDescent="0.25">
      <c r="A60" s="7" t="s">
        <v>58</v>
      </c>
      <c r="B60" s="7"/>
      <c r="C60" s="7" t="s">
        <v>310</v>
      </c>
      <c r="D60" s="7"/>
      <c r="E60" s="7"/>
      <c r="F60" s="7"/>
      <c r="G60" s="7"/>
      <c r="H60" s="7"/>
      <c r="I60" s="7"/>
      <c r="J60" s="58">
        <v>2104.1999999999998</v>
      </c>
      <c r="K60" s="58">
        <f>J60/12</f>
        <v>175.35</v>
      </c>
      <c r="L60" s="7"/>
    </row>
    <row r="61" spans="1:13" ht="15.75" x14ac:dyDescent="0.25">
      <c r="A61" s="7" t="s">
        <v>61</v>
      </c>
      <c r="B61" s="7"/>
      <c r="C61" s="153" t="s">
        <v>59</v>
      </c>
      <c r="D61" s="153"/>
      <c r="E61" s="153"/>
      <c r="F61" s="153"/>
      <c r="G61" s="153"/>
      <c r="H61" s="7"/>
      <c r="I61" s="7"/>
      <c r="J61" s="58">
        <v>155</v>
      </c>
      <c r="K61" s="58">
        <f>4*J61</f>
        <v>620</v>
      </c>
      <c r="L61" s="7"/>
    </row>
    <row r="62" spans="1:13" ht="15.75" x14ac:dyDescent="0.25">
      <c r="A62" s="7" t="s">
        <v>62</v>
      </c>
      <c r="B62" s="7"/>
      <c r="C62" s="45" t="s">
        <v>63</v>
      </c>
      <c r="D62" s="45"/>
      <c r="E62" s="45"/>
      <c r="F62" s="45"/>
      <c r="G62" s="45"/>
      <c r="H62" s="7"/>
      <c r="I62" s="7"/>
      <c r="J62" s="58">
        <v>1740</v>
      </c>
      <c r="K62" s="58">
        <f>J62/12</f>
        <v>145</v>
      </c>
      <c r="L62" s="7"/>
    </row>
    <row r="63" spans="1:13" ht="15.75" x14ac:dyDescent="0.25">
      <c r="A63" s="7" t="s">
        <v>142</v>
      </c>
      <c r="B63" s="7"/>
      <c r="C63" s="155" t="s">
        <v>143</v>
      </c>
      <c r="D63" s="155"/>
      <c r="E63" s="155"/>
      <c r="F63" s="155"/>
      <c r="G63" s="45"/>
      <c r="H63" s="7"/>
      <c r="I63" s="7"/>
      <c r="J63" s="60">
        <v>290.83</v>
      </c>
      <c r="K63" s="75">
        <f>J63/24</f>
        <v>12.117916666666666</v>
      </c>
      <c r="L63" s="7"/>
    </row>
    <row r="64" spans="1:13" ht="20.25" customHeight="1" x14ac:dyDescent="0.25">
      <c r="A64" s="151" t="s">
        <v>44</v>
      </c>
      <c r="B64" s="151"/>
      <c r="C64" s="151"/>
      <c r="D64" s="151"/>
      <c r="E64" s="151"/>
      <c r="F64" s="151"/>
      <c r="G64" s="151"/>
      <c r="H64" s="151"/>
      <c r="I64" s="151"/>
      <c r="J64" s="151"/>
      <c r="K64" s="69">
        <f>SUM(K51:K63)</f>
        <v>13475.699641625999</v>
      </c>
      <c r="L64" s="57" t="s">
        <v>17</v>
      </c>
      <c r="M64" s="4"/>
    </row>
    <row r="66" spans="1:12" ht="19.5" customHeight="1" x14ac:dyDescent="0.3">
      <c r="A66" s="162" t="s">
        <v>132</v>
      </c>
      <c r="B66" s="162"/>
      <c r="C66" s="162"/>
      <c r="D66" s="162"/>
      <c r="E66" s="162"/>
      <c r="F66" s="162"/>
      <c r="G66" s="162"/>
      <c r="H66" s="162"/>
      <c r="I66" s="162"/>
      <c r="K66" s="68">
        <f>K47+K64</f>
        <v>13475.699641625999</v>
      </c>
    </row>
    <row r="68" spans="1:12" ht="15.75" x14ac:dyDescent="0.25">
      <c r="A68" s="152" t="s">
        <v>133</v>
      </c>
      <c r="B68" s="152"/>
      <c r="C68" s="152"/>
      <c r="D68" s="152"/>
      <c r="E68" s="152"/>
      <c r="I68" s="192" t="s">
        <v>56</v>
      </c>
      <c r="J68" s="192"/>
    </row>
    <row r="69" spans="1:12" ht="15.75" x14ac:dyDescent="0.25">
      <c r="A69" s="7" t="s">
        <v>54</v>
      </c>
      <c r="B69" s="7"/>
      <c r="C69" s="153" t="s">
        <v>55</v>
      </c>
      <c r="D69" s="153"/>
      <c r="E69" s="153"/>
      <c r="F69" s="153"/>
      <c r="G69" s="7"/>
      <c r="H69" s="7"/>
      <c r="I69" s="63">
        <v>0.05</v>
      </c>
      <c r="J69" s="7"/>
      <c r="K69" s="58">
        <f>0.05*K66</f>
        <v>673.78498208129997</v>
      </c>
      <c r="L69" s="7"/>
    </row>
    <row r="70" spans="1:12" ht="15.75" x14ac:dyDescent="0.25">
      <c r="A70" s="7"/>
      <c r="B70" s="7"/>
      <c r="C70" s="153" t="s">
        <v>60</v>
      </c>
      <c r="D70" s="153"/>
      <c r="E70" s="153"/>
      <c r="F70" s="153"/>
      <c r="G70" s="7"/>
      <c r="H70" s="7"/>
      <c r="I70" s="61">
        <v>0.1</v>
      </c>
      <c r="J70" s="7"/>
      <c r="K70" s="58">
        <f>0.06*(K66+K69)</f>
        <v>848.96907742243798</v>
      </c>
      <c r="L70" s="7"/>
    </row>
    <row r="71" spans="1:12" ht="18.75" x14ac:dyDescent="0.3">
      <c r="A71" s="7"/>
      <c r="B71" s="7"/>
      <c r="C71" s="7"/>
      <c r="D71" s="7"/>
      <c r="E71" s="7"/>
      <c r="F71" s="7"/>
      <c r="G71" s="7"/>
      <c r="H71" s="7"/>
      <c r="I71" s="7"/>
      <c r="J71" s="62" t="s">
        <v>131</v>
      </c>
      <c r="K71" s="67">
        <f>SUM(K69:K70)</f>
        <v>1522.7540595037381</v>
      </c>
      <c r="L71" s="54" t="s">
        <v>17</v>
      </c>
    </row>
    <row r="73" spans="1:12" ht="15.75" x14ac:dyDescent="0.25">
      <c r="A73" s="152" t="s">
        <v>134</v>
      </c>
      <c r="B73" s="152"/>
      <c r="C73" s="152"/>
      <c r="D73" s="152"/>
      <c r="E73" s="152"/>
      <c r="F73" s="7"/>
      <c r="G73" s="7"/>
      <c r="H73" s="7"/>
      <c r="I73" s="7"/>
      <c r="J73" s="7"/>
      <c r="K73" s="7"/>
      <c r="L73" s="7"/>
    </row>
    <row r="74" spans="1:12" ht="15.75" x14ac:dyDescent="0.25">
      <c r="A74" s="153" t="s">
        <v>43</v>
      </c>
      <c r="B74" s="153"/>
      <c r="C74" s="153"/>
      <c r="D74" s="153"/>
      <c r="E74" s="153"/>
      <c r="F74" s="153"/>
      <c r="G74" s="7"/>
      <c r="H74" s="7"/>
      <c r="I74" s="145" t="s">
        <v>48</v>
      </c>
      <c r="J74" s="145"/>
      <c r="K74" s="51">
        <f>K66+K71</f>
        <v>14998.453701129736</v>
      </c>
      <c r="L74" s="7"/>
    </row>
    <row r="75" spans="1:12" ht="15.75" x14ac:dyDescent="0.25">
      <c r="A75" s="7"/>
      <c r="B75" s="7" t="s">
        <v>45</v>
      </c>
      <c r="C75" s="7"/>
      <c r="D75" s="7"/>
      <c r="E75" s="7"/>
      <c r="F75" s="7"/>
      <c r="G75" s="7"/>
      <c r="H75" s="7"/>
      <c r="I75" s="186">
        <v>0.05</v>
      </c>
      <c r="J75" s="186"/>
      <c r="K75" s="51">
        <f>I75*K74</f>
        <v>749.9226850564869</v>
      </c>
      <c r="L75" s="7"/>
    </row>
    <row r="76" spans="1:12" ht="15.75" x14ac:dyDescent="0.25">
      <c r="A76" s="7"/>
      <c r="B76" s="7" t="s">
        <v>46</v>
      </c>
      <c r="C76" s="7"/>
      <c r="D76" s="7"/>
      <c r="E76" s="7"/>
      <c r="F76" s="7"/>
      <c r="G76" s="7"/>
      <c r="H76" s="7"/>
      <c r="I76" s="187">
        <v>1.6500000000000001E-2</v>
      </c>
      <c r="J76" s="187"/>
      <c r="K76" s="51">
        <f>I76*K74</f>
        <v>247.47448606864066</v>
      </c>
      <c r="L76" s="7"/>
    </row>
    <row r="77" spans="1:12" ht="15.75" x14ac:dyDescent="0.25">
      <c r="A77" s="7"/>
      <c r="B77" s="7" t="s">
        <v>47</v>
      </c>
      <c r="C77" s="7"/>
      <c r="D77" s="7"/>
      <c r="E77" s="7"/>
      <c r="F77" s="7"/>
      <c r="G77" s="7"/>
      <c r="H77" s="7"/>
      <c r="I77" s="188">
        <v>7.5999999999999998E-2</v>
      </c>
      <c r="J77" s="188"/>
      <c r="K77" s="51">
        <f>I77*K74</f>
        <v>1139.88248128586</v>
      </c>
      <c r="L77" s="7"/>
    </row>
    <row r="78" spans="1:12" ht="21" customHeight="1" x14ac:dyDescent="0.3">
      <c r="A78" s="161" t="s">
        <v>49</v>
      </c>
      <c r="B78" s="161"/>
      <c r="C78" s="161"/>
      <c r="D78" s="161"/>
      <c r="E78" s="161"/>
      <c r="F78" s="161"/>
      <c r="G78" s="161"/>
      <c r="H78" s="161"/>
      <c r="I78" s="161"/>
      <c r="J78" s="161"/>
      <c r="K78" s="66">
        <f>SUM(K75:K77)</f>
        <v>2137.2796524109876</v>
      </c>
      <c r="L78" s="54" t="s">
        <v>17</v>
      </c>
    </row>
    <row r="80" spans="1:12" x14ac:dyDescent="0.25">
      <c r="C80" s="5"/>
      <c r="D80" s="5"/>
      <c r="E80" s="5"/>
      <c r="F80" s="5"/>
      <c r="K80" s="2"/>
    </row>
    <row r="81" spans="1:20" ht="15.75" x14ac:dyDescent="0.25">
      <c r="A81" s="152" t="s">
        <v>57</v>
      </c>
      <c r="B81" s="152"/>
      <c r="C81" s="152"/>
      <c r="D81" s="152"/>
      <c r="E81" s="152"/>
      <c r="F81" s="152"/>
      <c r="G81" s="152"/>
      <c r="H81" s="152"/>
      <c r="I81" s="152"/>
      <c r="T81" s="43"/>
    </row>
    <row r="82" spans="1:20" ht="15.75" x14ac:dyDescent="0.25">
      <c r="A82" s="6"/>
      <c r="B82" s="6"/>
      <c r="C82" s="6"/>
      <c r="D82" s="6"/>
      <c r="E82" s="6"/>
      <c r="F82" s="6"/>
      <c r="G82" s="6"/>
      <c r="H82" s="6"/>
      <c r="I82" s="6"/>
    </row>
    <row r="83" spans="1:20" ht="15.75" x14ac:dyDescent="0.25">
      <c r="A83" s="152" t="s">
        <v>52</v>
      </c>
      <c r="B83" s="174"/>
      <c r="C83" s="174"/>
      <c r="D83" s="174"/>
      <c r="E83" s="174"/>
      <c r="F83" s="174"/>
      <c r="G83" s="174"/>
      <c r="H83" s="174"/>
    </row>
    <row r="84" spans="1:20" ht="20.25" customHeight="1" x14ac:dyDescent="0.3">
      <c r="A84" s="153" t="s">
        <v>135</v>
      </c>
      <c r="B84" s="153"/>
      <c r="C84" s="153"/>
      <c r="D84" s="153"/>
      <c r="E84" s="153"/>
      <c r="F84" s="153"/>
      <c r="G84" s="153"/>
      <c r="H84" s="153"/>
      <c r="I84" s="153"/>
      <c r="J84" s="153"/>
      <c r="K84" s="64">
        <f>K66+K71+K78</f>
        <v>17135.733353540723</v>
      </c>
    </row>
    <row r="85" spans="1:20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2"/>
    </row>
    <row r="86" spans="1:20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2"/>
      <c r="P86" s="42"/>
    </row>
    <row r="87" spans="1:20" ht="8.25" customHeight="1" x14ac:dyDescent="0.25"/>
    <row r="88" spans="1:20" ht="16.5" customHeight="1" x14ac:dyDescent="0.25">
      <c r="A88" s="178" t="s">
        <v>50</v>
      </c>
      <c r="B88" s="154"/>
      <c r="C88" s="154"/>
      <c r="D88" s="154"/>
      <c r="E88" s="154"/>
      <c r="F88" s="154"/>
      <c r="G88" s="154"/>
      <c r="H88" s="154"/>
      <c r="I88" s="154"/>
      <c r="J88" s="154"/>
      <c r="K88" s="7"/>
      <c r="L88" s="7"/>
    </row>
    <row r="89" spans="1:20" ht="24.75" customHeight="1" x14ac:dyDescent="0.3">
      <c r="A89" s="193" t="s">
        <v>141</v>
      </c>
      <c r="B89" s="193"/>
      <c r="C89" s="193"/>
      <c r="D89" s="193"/>
      <c r="E89" s="193"/>
      <c r="F89" s="193"/>
      <c r="G89" s="193"/>
      <c r="H89" s="193"/>
      <c r="I89" s="193"/>
      <c r="J89" s="193"/>
      <c r="K89" s="73" t="e">
        <f>K84/O18</f>
        <v>#DIV/0!</v>
      </c>
      <c r="L89" s="65" t="s">
        <v>51</v>
      </c>
    </row>
    <row r="93" spans="1:20" s="10" customFormat="1" x14ac:dyDescent="0.25"/>
    <row r="94" spans="1:20" s="11" customFormat="1" ht="18.75" x14ac:dyDescent="0.3">
      <c r="B94" s="12" t="s">
        <v>69</v>
      </c>
      <c r="D94" s="185" t="s">
        <v>65</v>
      </c>
      <c r="E94" s="185"/>
      <c r="L94" s="12" t="s">
        <v>69</v>
      </c>
      <c r="M94" s="12"/>
      <c r="N94" s="12" t="s">
        <v>75</v>
      </c>
      <c r="O94" s="12"/>
    </row>
    <row r="95" spans="1:20" s="11" customFormat="1" x14ac:dyDescent="0.25"/>
    <row r="96" spans="1:20" s="11" customFormat="1" x14ac:dyDescent="0.25">
      <c r="B96" s="183" t="s">
        <v>66</v>
      </c>
      <c r="C96" s="183"/>
      <c r="D96" s="13"/>
      <c r="E96" s="13"/>
      <c r="F96" s="184">
        <v>288912</v>
      </c>
      <c r="G96" s="184"/>
      <c r="L96" s="13" t="s">
        <v>66</v>
      </c>
      <c r="M96" s="13"/>
      <c r="N96" s="13"/>
      <c r="O96" s="13"/>
      <c r="P96" s="13"/>
      <c r="Q96" s="30">
        <v>271500</v>
      </c>
    </row>
    <row r="97" spans="2:18" s="11" customFormat="1" x14ac:dyDescent="0.25">
      <c r="B97" s="13" t="s">
        <v>67</v>
      </c>
      <c r="D97" s="13"/>
      <c r="E97" s="13"/>
      <c r="F97" s="182">
        <v>10</v>
      </c>
      <c r="G97" s="182"/>
      <c r="H97" s="11" t="s">
        <v>167</v>
      </c>
      <c r="L97" s="13" t="s">
        <v>67</v>
      </c>
      <c r="M97" s="13"/>
      <c r="N97" s="13"/>
      <c r="O97" s="13"/>
      <c r="P97" s="13"/>
      <c r="Q97" s="13">
        <v>10</v>
      </c>
      <c r="R97" s="11" t="s">
        <v>167</v>
      </c>
    </row>
    <row r="98" spans="2:18" s="11" customFormat="1" x14ac:dyDescent="0.25">
      <c r="B98" s="13" t="s">
        <v>81</v>
      </c>
      <c r="D98" s="13"/>
      <c r="E98" s="13"/>
      <c r="F98" s="14"/>
      <c r="G98" s="14">
        <v>2018</v>
      </c>
      <c r="L98" s="13" t="s">
        <v>81</v>
      </c>
      <c r="N98" s="13"/>
      <c r="O98" s="13"/>
      <c r="P98" s="14"/>
      <c r="Q98" s="14">
        <v>2018</v>
      </c>
    </row>
    <row r="99" spans="2:18" s="11" customFormat="1" x14ac:dyDescent="0.25">
      <c r="B99" s="183" t="s">
        <v>68</v>
      </c>
      <c r="C99" s="183"/>
      <c r="D99" s="183"/>
      <c r="F99" s="182">
        <v>6</v>
      </c>
      <c r="G99" s="182"/>
      <c r="L99" s="13" t="s">
        <v>76</v>
      </c>
      <c r="M99" s="13"/>
      <c r="N99" s="13"/>
      <c r="O99" s="13"/>
      <c r="P99" s="13"/>
      <c r="Q99" s="13">
        <v>6</v>
      </c>
    </row>
    <row r="100" spans="2:18" s="11" customFormat="1" x14ac:dyDescent="0.25">
      <c r="B100" s="183" t="s">
        <v>71</v>
      </c>
      <c r="C100" s="183"/>
      <c r="D100" s="183"/>
      <c r="F100" s="14"/>
      <c r="G100" s="17">
        <v>100000</v>
      </c>
      <c r="L100" s="13" t="s">
        <v>71</v>
      </c>
      <c r="M100" s="13"/>
      <c r="N100" s="13"/>
      <c r="O100" s="13"/>
      <c r="P100" s="13"/>
      <c r="Q100" s="19">
        <v>100000</v>
      </c>
    </row>
    <row r="101" spans="2:18" s="11" customFormat="1" x14ac:dyDescent="0.25">
      <c r="B101" s="183" t="s">
        <v>72</v>
      </c>
      <c r="C101" s="183"/>
      <c r="D101" s="183"/>
      <c r="F101" s="14"/>
      <c r="G101" s="20">
        <v>1533.77</v>
      </c>
      <c r="L101" s="13" t="s">
        <v>72</v>
      </c>
      <c r="M101" s="13"/>
      <c r="N101" s="13"/>
      <c r="O101" s="13"/>
      <c r="P101" s="13"/>
      <c r="Q101" s="71">
        <v>860.69</v>
      </c>
    </row>
    <row r="102" spans="2:18" s="11" customFormat="1" x14ac:dyDescent="0.25">
      <c r="B102" s="183" t="s">
        <v>73</v>
      </c>
      <c r="C102" s="183"/>
      <c r="D102" s="15"/>
      <c r="F102" s="14"/>
      <c r="G102" s="14">
        <v>2.6</v>
      </c>
      <c r="H102" s="13" t="s">
        <v>74</v>
      </c>
      <c r="L102" s="13" t="s">
        <v>73</v>
      </c>
      <c r="M102" s="13"/>
      <c r="N102" s="13"/>
      <c r="O102" s="13"/>
      <c r="P102" s="13"/>
      <c r="Q102" s="13">
        <v>4.7</v>
      </c>
    </row>
    <row r="103" spans="2:18" s="11" customFormat="1" x14ac:dyDescent="0.25">
      <c r="B103" s="183" t="s">
        <v>70</v>
      </c>
      <c r="C103" s="183"/>
      <c r="D103" s="183"/>
      <c r="F103" s="182" t="s">
        <v>125</v>
      </c>
      <c r="G103" s="182"/>
      <c r="L103" s="13" t="s">
        <v>70</v>
      </c>
      <c r="M103" s="13"/>
      <c r="N103" s="13"/>
      <c r="O103" s="13"/>
      <c r="P103" s="13"/>
      <c r="Q103" s="13" t="s">
        <v>124</v>
      </c>
    </row>
    <row r="104" spans="2:18" s="11" customFormat="1" x14ac:dyDescent="0.25"/>
    <row r="105" spans="2:18" s="11" customFormat="1" x14ac:dyDescent="0.25"/>
    <row r="106" spans="2:18" s="11" customFormat="1" ht="18.75" x14ac:dyDescent="0.3">
      <c r="B106" s="12" t="s">
        <v>69</v>
      </c>
      <c r="C106" s="12"/>
      <c r="D106" s="12" t="s">
        <v>77</v>
      </c>
      <c r="E106" s="13"/>
      <c r="F106" s="13"/>
      <c r="G106" s="13"/>
      <c r="H106" s="13"/>
      <c r="L106" s="12" t="s">
        <v>69</v>
      </c>
      <c r="M106" s="16"/>
      <c r="N106" s="16"/>
      <c r="O106" s="12" t="s">
        <v>78</v>
      </c>
    </row>
    <row r="107" spans="2:18" s="11" customFormat="1" x14ac:dyDescent="0.25">
      <c r="B107" s="13"/>
      <c r="C107" s="13"/>
      <c r="D107" s="13"/>
      <c r="E107" s="13"/>
      <c r="F107" s="13"/>
      <c r="G107" s="13"/>
      <c r="H107" s="13"/>
    </row>
    <row r="108" spans="2:18" s="11" customFormat="1" x14ac:dyDescent="0.25">
      <c r="B108" s="183" t="s">
        <v>66</v>
      </c>
      <c r="C108" s="183"/>
      <c r="D108" s="13"/>
      <c r="E108" s="13"/>
      <c r="F108" s="182">
        <v>400</v>
      </c>
      <c r="G108" s="182"/>
      <c r="H108" s="13"/>
      <c r="L108" s="183" t="s">
        <v>66</v>
      </c>
      <c r="M108" s="183"/>
      <c r="N108" s="13"/>
      <c r="O108" s="13"/>
      <c r="P108" s="182" t="s">
        <v>78</v>
      </c>
      <c r="Q108" s="182"/>
      <c r="R108" s="13"/>
    </row>
    <row r="109" spans="2:18" s="11" customFormat="1" x14ac:dyDescent="0.25">
      <c r="B109" s="13" t="s">
        <v>67</v>
      </c>
      <c r="C109" s="13"/>
      <c r="D109" s="13"/>
      <c r="E109" s="13"/>
      <c r="F109" s="182">
        <v>10</v>
      </c>
      <c r="G109" s="182"/>
      <c r="H109" s="13" t="s">
        <v>167</v>
      </c>
      <c r="L109" s="13" t="s">
        <v>67</v>
      </c>
      <c r="M109" s="13"/>
      <c r="N109" s="13"/>
      <c r="O109" s="13"/>
      <c r="P109" s="182">
        <v>8</v>
      </c>
      <c r="Q109" s="182"/>
      <c r="R109" s="13" t="s">
        <v>167</v>
      </c>
    </row>
    <row r="110" spans="2:18" s="11" customFormat="1" x14ac:dyDescent="0.25">
      <c r="B110" s="13" t="s">
        <v>81</v>
      </c>
      <c r="D110" s="13"/>
      <c r="E110" s="13"/>
      <c r="F110" s="14"/>
      <c r="G110" s="14" t="s">
        <v>82</v>
      </c>
      <c r="L110" s="13" t="s">
        <v>81</v>
      </c>
      <c r="N110" s="13"/>
      <c r="O110" s="13"/>
      <c r="P110" s="14"/>
      <c r="Q110" s="14" t="s">
        <v>83</v>
      </c>
      <c r="R110" s="13"/>
    </row>
    <row r="111" spans="2:18" s="11" customFormat="1" x14ac:dyDescent="0.25">
      <c r="B111" s="183" t="s">
        <v>68</v>
      </c>
      <c r="C111" s="183"/>
      <c r="D111" s="183"/>
      <c r="E111" s="13"/>
      <c r="F111" s="182" t="s">
        <v>87</v>
      </c>
      <c r="G111" s="182"/>
      <c r="H111" s="13"/>
      <c r="L111" s="183" t="s">
        <v>68</v>
      </c>
      <c r="M111" s="183"/>
      <c r="N111" s="183"/>
      <c r="O111" s="13"/>
      <c r="P111" s="182" t="s">
        <v>88</v>
      </c>
      <c r="Q111" s="182"/>
      <c r="R111" s="13"/>
    </row>
    <row r="112" spans="2:18" s="11" customFormat="1" x14ac:dyDescent="0.25">
      <c r="B112" s="183" t="s">
        <v>71</v>
      </c>
      <c r="C112" s="183"/>
      <c r="D112" s="183"/>
      <c r="E112" s="13"/>
      <c r="F112" s="14"/>
      <c r="G112" s="14" t="s">
        <v>89</v>
      </c>
      <c r="H112" s="13"/>
      <c r="L112" s="183" t="s">
        <v>71</v>
      </c>
      <c r="M112" s="183"/>
      <c r="N112" s="183"/>
      <c r="O112" s="13"/>
      <c r="P112" s="14"/>
      <c r="Q112" s="14" t="s">
        <v>90</v>
      </c>
      <c r="R112" s="13"/>
    </row>
    <row r="113" spans="2:21" s="11" customFormat="1" x14ac:dyDescent="0.25">
      <c r="B113" s="183" t="s">
        <v>72</v>
      </c>
      <c r="C113" s="183"/>
      <c r="D113" s="183"/>
      <c r="E113" s="13"/>
      <c r="F113" s="14"/>
      <c r="G113" s="14">
        <v>400</v>
      </c>
      <c r="H113" s="13"/>
      <c r="L113" s="183" t="s">
        <v>72</v>
      </c>
      <c r="M113" s="183"/>
      <c r="N113" s="183"/>
      <c r="O113" s="13"/>
      <c r="P113" s="14"/>
      <c r="Q113" s="14">
        <v>4444</v>
      </c>
      <c r="R113" s="13"/>
    </row>
    <row r="114" spans="2:21" s="11" customFormat="1" x14ac:dyDescent="0.25">
      <c r="B114" s="183" t="s">
        <v>73</v>
      </c>
      <c r="C114" s="183"/>
      <c r="D114" s="15"/>
      <c r="E114" s="13"/>
      <c r="F114" s="14"/>
      <c r="G114" s="14">
        <v>2</v>
      </c>
      <c r="H114" s="13" t="s">
        <v>74</v>
      </c>
      <c r="L114" s="183" t="s">
        <v>73</v>
      </c>
      <c r="M114" s="183"/>
      <c r="N114" s="15"/>
      <c r="O114" s="13"/>
      <c r="P114" s="14"/>
      <c r="Q114" s="14">
        <v>4</v>
      </c>
      <c r="R114" s="13" t="s">
        <v>74</v>
      </c>
    </row>
    <row r="115" spans="2:21" s="11" customFormat="1" x14ac:dyDescent="0.25">
      <c r="B115" s="183" t="s">
        <v>70</v>
      </c>
      <c r="C115" s="183"/>
      <c r="D115" s="183"/>
      <c r="E115" s="13"/>
      <c r="F115" s="182" t="s">
        <v>85</v>
      </c>
      <c r="G115" s="182"/>
      <c r="H115" s="13"/>
      <c r="L115" s="183" t="s">
        <v>70</v>
      </c>
      <c r="M115" s="183"/>
      <c r="N115" s="183"/>
      <c r="O115" s="13"/>
      <c r="P115" s="182" t="s">
        <v>86</v>
      </c>
      <c r="Q115" s="182"/>
      <c r="R115" s="13"/>
    </row>
    <row r="116" spans="2:21" s="11" customFormat="1" x14ac:dyDescent="0.25"/>
    <row r="117" spans="2:21" s="11" customFormat="1" x14ac:dyDescent="0.25"/>
    <row r="118" spans="2:21" s="11" customFormat="1" ht="18.75" x14ac:dyDescent="0.3">
      <c r="Q118" s="12" t="s">
        <v>65</v>
      </c>
      <c r="R118" s="12"/>
      <c r="T118" s="13" t="s">
        <v>130</v>
      </c>
      <c r="U118" s="13"/>
    </row>
    <row r="119" spans="2:21" s="11" customFormat="1" ht="18.75" x14ac:dyDescent="0.3">
      <c r="Q119" s="12" t="s">
        <v>75</v>
      </c>
      <c r="T119" s="13" t="s">
        <v>129</v>
      </c>
      <c r="U119" s="13"/>
    </row>
    <row r="120" spans="2:21" s="11" customFormat="1" ht="18.75" x14ac:dyDescent="0.3">
      <c r="Q120" s="12" t="s">
        <v>77</v>
      </c>
    </row>
    <row r="121" spans="2:21" s="11" customFormat="1" ht="18" customHeight="1" x14ac:dyDescent="0.3">
      <c r="B121" s="190" t="s">
        <v>200</v>
      </c>
      <c r="C121" s="190"/>
      <c r="Q121" s="12" t="s">
        <v>78</v>
      </c>
    </row>
    <row r="122" spans="2:21" ht="0.75" hidden="1" customHeight="1" x14ac:dyDescent="0.25">
      <c r="B122" s="190"/>
      <c r="C122" s="190"/>
    </row>
    <row r="123" spans="2:21" hidden="1" x14ac:dyDescent="0.25">
      <c r="B123" s="190"/>
      <c r="C123" s="190"/>
    </row>
    <row r="124" spans="2:21" x14ac:dyDescent="0.25">
      <c r="B124" s="190"/>
      <c r="C124" s="190"/>
    </row>
    <row r="125" spans="2:21" ht="24.75" x14ac:dyDescent="0.25">
      <c r="B125" s="105" t="s">
        <v>201</v>
      </c>
      <c r="C125" s="9" t="s">
        <v>202</v>
      </c>
      <c r="D125" s="9"/>
      <c r="E125" s="9"/>
      <c r="F125" s="9" t="s">
        <v>203</v>
      </c>
      <c r="G125" s="9"/>
      <c r="H125" s="9"/>
      <c r="I125" s="9" t="s">
        <v>204</v>
      </c>
      <c r="J125" s="9"/>
      <c r="K125" s="9"/>
      <c r="L125" s="9" t="s">
        <v>205</v>
      </c>
      <c r="M125" s="9"/>
      <c r="N125" s="9"/>
    </row>
    <row r="126" spans="2:21" x14ac:dyDescent="0.25">
      <c r="B126" s="5">
        <v>40</v>
      </c>
      <c r="C126" s="2">
        <f>$K$42*(B126*21)</f>
        <v>3444.4691723076917</v>
      </c>
      <c r="F126" s="2">
        <f>(C126+$K$64)*0.05</f>
        <v>846.0084406966846</v>
      </c>
      <c r="I126" s="2">
        <f>(C126+$K$64+F126)*6%</f>
        <v>1065.9706352778226</v>
      </c>
      <c r="L126" s="31">
        <f>(C126+$K$64+F126+I126)*14.25%</f>
        <v>2683.5810743119182</v>
      </c>
      <c r="M126" s="9"/>
      <c r="N126" s="9"/>
    </row>
    <row r="127" spans="2:21" x14ac:dyDescent="0.25">
      <c r="B127" s="5">
        <v>50</v>
      </c>
      <c r="C127" s="2">
        <f t="shared" ref="C127:C138" si="0">$K$42*(B127*21)</f>
        <v>4305.5864653846147</v>
      </c>
      <c r="F127" s="2">
        <f t="shared" ref="F127:F138" si="1">(C127+$K$64)*0.05</f>
        <v>889.06430535053084</v>
      </c>
      <c r="I127" s="2">
        <f t="shared" ref="I127:I138" si="2">(C127+$K$64+F127)*6%</f>
        <v>1120.2210247416688</v>
      </c>
      <c r="L127" s="31">
        <f t="shared" ref="L127:L138" si="3">(C127+$K$64+F127+I127)*14.25%</f>
        <v>2820.156429787151</v>
      </c>
      <c r="M127" s="9"/>
      <c r="N127" s="9"/>
    </row>
    <row r="128" spans="2:21" x14ac:dyDescent="0.25">
      <c r="B128" s="5">
        <v>60</v>
      </c>
      <c r="C128" s="2">
        <f t="shared" si="0"/>
        <v>5166.7037584615382</v>
      </c>
      <c r="F128" s="2">
        <f t="shared" si="1"/>
        <v>932.12017000437686</v>
      </c>
      <c r="I128" s="2">
        <f t="shared" si="2"/>
        <v>1174.4714142055147</v>
      </c>
      <c r="L128" s="31">
        <f t="shared" si="3"/>
        <v>2956.7317852623837</v>
      </c>
      <c r="M128" s="9"/>
      <c r="N128" s="9"/>
    </row>
    <row r="129" spans="2:14" x14ac:dyDescent="0.25">
      <c r="B129" s="5">
        <v>70</v>
      </c>
      <c r="C129" s="2">
        <f t="shared" si="0"/>
        <v>6027.8210515384608</v>
      </c>
      <c r="F129" s="2">
        <f t="shared" si="1"/>
        <v>975.1760346582231</v>
      </c>
      <c r="I129" s="2">
        <f t="shared" si="2"/>
        <v>1228.721803669361</v>
      </c>
      <c r="L129" s="31">
        <f t="shared" si="3"/>
        <v>3093.307140737616</v>
      </c>
      <c r="M129" s="9"/>
      <c r="N129" s="9"/>
    </row>
    <row r="130" spans="2:14" x14ac:dyDescent="0.25">
      <c r="B130" s="5">
        <v>80</v>
      </c>
      <c r="C130" s="2">
        <f t="shared" si="0"/>
        <v>6888.9383446153834</v>
      </c>
      <c r="F130" s="2">
        <f t="shared" si="1"/>
        <v>1018.2318993120691</v>
      </c>
      <c r="I130" s="2">
        <f t="shared" si="2"/>
        <v>1282.9721931332069</v>
      </c>
      <c r="L130" s="31">
        <f t="shared" si="3"/>
        <v>3229.8824962128483</v>
      </c>
      <c r="M130" s="9"/>
      <c r="N130" s="9"/>
    </row>
    <row r="131" spans="2:14" x14ac:dyDescent="0.25">
      <c r="B131" s="5">
        <v>90</v>
      </c>
      <c r="C131" s="2">
        <f t="shared" si="0"/>
        <v>7750.0556376923068</v>
      </c>
      <c r="F131" s="2">
        <f t="shared" si="1"/>
        <v>1061.2877639659152</v>
      </c>
      <c r="I131" s="2">
        <f t="shared" si="2"/>
        <v>1337.2225825970534</v>
      </c>
      <c r="L131" s="31">
        <f t="shared" si="3"/>
        <v>3366.4578516880815</v>
      </c>
      <c r="M131" s="9"/>
      <c r="N131" s="9"/>
    </row>
    <row r="132" spans="2:14" x14ac:dyDescent="0.25">
      <c r="B132" s="5">
        <v>100</v>
      </c>
      <c r="C132" s="2">
        <f t="shared" si="0"/>
        <v>8611.1729307692294</v>
      </c>
      <c r="F132" s="2">
        <f t="shared" si="1"/>
        <v>1104.3436286197616</v>
      </c>
      <c r="I132" s="2">
        <f t="shared" si="2"/>
        <v>1391.4729720608993</v>
      </c>
      <c r="L132" s="31">
        <f t="shared" si="3"/>
        <v>3503.0332071633143</v>
      </c>
      <c r="M132" s="9"/>
      <c r="N132" s="9"/>
    </row>
    <row r="133" spans="2:14" x14ac:dyDescent="0.25">
      <c r="B133" s="5">
        <v>110</v>
      </c>
      <c r="C133" s="2">
        <f t="shared" si="0"/>
        <v>9472.290223846152</v>
      </c>
      <c r="F133" s="2">
        <f t="shared" si="1"/>
        <v>1147.3994932736075</v>
      </c>
      <c r="I133" s="2">
        <f t="shared" si="2"/>
        <v>1445.7233615247453</v>
      </c>
      <c r="L133" s="31">
        <f t="shared" si="3"/>
        <v>3639.6085626385466</v>
      </c>
      <c r="M133" s="9"/>
      <c r="N133" s="9"/>
    </row>
    <row r="134" spans="2:14" x14ac:dyDescent="0.25">
      <c r="B134" s="5">
        <v>120</v>
      </c>
      <c r="C134" s="2">
        <f t="shared" si="0"/>
        <v>10333.407516923076</v>
      </c>
      <c r="F134" s="2">
        <f t="shared" si="1"/>
        <v>1190.4553579274539</v>
      </c>
      <c r="I134" s="2">
        <f t="shared" si="2"/>
        <v>1499.9737509885917</v>
      </c>
      <c r="L134" s="31">
        <f t="shared" si="3"/>
        <v>3776.1839181137798</v>
      </c>
      <c r="M134" s="9"/>
      <c r="N134" s="9"/>
    </row>
    <row r="135" spans="2:14" x14ac:dyDescent="0.25">
      <c r="B135" s="5">
        <v>130</v>
      </c>
      <c r="C135" s="2">
        <f t="shared" si="0"/>
        <v>11194.524809999999</v>
      </c>
      <c r="F135" s="2">
        <f t="shared" si="1"/>
        <v>1233.5112225813</v>
      </c>
      <c r="I135" s="2">
        <f t="shared" si="2"/>
        <v>1554.2241404524377</v>
      </c>
      <c r="L135" s="31">
        <f t="shared" si="3"/>
        <v>3912.7592735890116</v>
      </c>
      <c r="M135" s="9"/>
      <c r="N135" s="9"/>
    </row>
    <row r="136" spans="2:14" x14ac:dyDescent="0.25">
      <c r="B136" s="5">
        <v>140</v>
      </c>
      <c r="C136" s="2">
        <f t="shared" si="0"/>
        <v>12055.642103076922</v>
      </c>
      <c r="F136" s="2">
        <f t="shared" si="1"/>
        <v>1276.5670872351461</v>
      </c>
      <c r="I136" s="2">
        <f t="shared" si="2"/>
        <v>1608.4745299162839</v>
      </c>
      <c r="L136" s="31">
        <f t="shared" si="3"/>
        <v>4049.3346290642444</v>
      </c>
      <c r="M136" s="9"/>
      <c r="N136" s="9"/>
    </row>
    <row r="137" spans="2:14" x14ac:dyDescent="0.25">
      <c r="B137" s="5">
        <v>150</v>
      </c>
      <c r="C137" s="2">
        <f t="shared" si="0"/>
        <v>12916.759396153844</v>
      </c>
      <c r="F137" s="2">
        <f t="shared" si="1"/>
        <v>1319.6229518889922</v>
      </c>
      <c r="I137" s="2">
        <f t="shared" si="2"/>
        <v>1662.7249193801301</v>
      </c>
      <c r="L137" s="31">
        <f t="shared" si="3"/>
        <v>4185.9099845394776</v>
      </c>
      <c r="M137" s="9"/>
      <c r="N137" s="9"/>
    </row>
    <row r="138" spans="2:14" x14ac:dyDescent="0.25">
      <c r="B138" s="5">
        <v>160</v>
      </c>
      <c r="C138" s="2">
        <f t="shared" si="0"/>
        <v>13777.876689230767</v>
      </c>
      <c r="F138" s="2">
        <f t="shared" si="1"/>
        <v>1362.6788165428384</v>
      </c>
      <c r="I138" s="2">
        <f t="shared" si="2"/>
        <v>1716.9753088439761</v>
      </c>
      <c r="L138" s="31">
        <f t="shared" si="3"/>
        <v>4322.4853400147094</v>
      </c>
      <c r="M138" s="9"/>
      <c r="N138" s="9"/>
    </row>
    <row r="139" spans="2:14" x14ac:dyDescent="0.25">
      <c r="B139" s="5"/>
    </row>
    <row r="142" spans="2:14" x14ac:dyDescent="0.25">
      <c r="B142" s="189" t="s">
        <v>206</v>
      </c>
      <c r="C142" s="189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</row>
    <row r="143" spans="2:14" x14ac:dyDescent="0.25">
      <c r="B143" s="189"/>
      <c r="C143" s="189"/>
    </row>
    <row r="144" spans="2:14" x14ac:dyDescent="0.25">
      <c r="B144" s="189"/>
      <c r="C144" s="189"/>
    </row>
    <row r="145" spans="2:14" x14ac:dyDescent="0.25">
      <c r="B145" s="189"/>
      <c r="C145" s="189"/>
    </row>
    <row r="146" spans="2:14" ht="24.75" x14ac:dyDescent="0.25">
      <c r="B146" s="105" t="s">
        <v>201</v>
      </c>
      <c r="C146" s="9" t="s">
        <v>202</v>
      </c>
      <c r="D146" s="9"/>
      <c r="E146" s="9"/>
      <c r="F146" s="9" t="s">
        <v>203</v>
      </c>
      <c r="G146" s="9"/>
      <c r="H146" s="9"/>
      <c r="I146" s="9" t="s">
        <v>204</v>
      </c>
      <c r="J146" s="9"/>
      <c r="K146" s="9"/>
      <c r="L146" s="9" t="s">
        <v>205</v>
      </c>
      <c r="M146" s="9"/>
      <c r="N146" s="9"/>
    </row>
    <row r="147" spans="2:14" x14ac:dyDescent="0.25">
      <c r="B147" s="5">
        <v>40</v>
      </c>
      <c r="C147" s="2">
        <f>($K$42*(B147*21))*1.154</f>
        <v>3974.9174248430759</v>
      </c>
      <c r="F147" s="2">
        <f>(C147+$K$64)*0.05</f>
        <v>872.53085332345381</v>
      </c>
      <c r="I147" s="2">
        <f>(C147+$K$64+F147)*6%</f>
        <v>1099.3888751875518</v>
      </c>
      <c r="L147" s="31">
        <f>(C147+$K$64+F147+I147)*14.25%</f>
        <v>2767.7114932846616</v>
      </c>
      <c r="M147" s="9"/>
      <c r="N147" s="9"/>
    </row>
    <row r="148" spans="2:14" x14ac:dyDescent="0.25">
      <c r="B148" s="5">
        <v>50</v>
      </c>
      <c r="C148" s="2">
        <f t="shared" ref="C148:C159" si="4">($K$42*(B148*21))*1.154</f>
        <v>4968.6467810538452</v>
      </c>
      <c r="F148" s="2">
        <f t="shared" ref="F148:F159" si="5">(C148+$K$64)*0.05</f>
        <v>922.2173211339923</v>
      </c>
      <c r="I148" s="2">
        <f t="shared" ref="I148:I159" si="6">(C148+$K$64+F148)*6%</f>
        <v>1161.9938246288302</v>
      </c>
      <c r="L148" s="31">
        <f t="shared" ref="L148:L159" si="7">(C148+$K$64+F148+I148)*14.25%</f>
        <v>2925.3194535030798</v>
      </c>
      <c r="M148" s="9"/>
      <c r="N148" s="9"/>
    </row>
    <row r="149" spans="2:14" x14ac:dyDescent="0.25">
      <c r="B149" s="5">
        <v>60</v>
      </c>
      <c r="C149" s="2">
        <f t="shared" si="4"/>
        <v>5962.376137264615</v>
      </c>
      <c r="F149" s="2">
        <f t="shared" si="5"/>
        <v>971.90378894453067</v>
      </c>
      <c r="I149" s="2">
        <f t="shared" si="6"/>
        <v>1224.5987740701087</v>
      </c>
      <c r="L149" s="31">
        <f t="shared" si="7"/>
        <v>3082.9274137214984</v>
      </c>
      <c r="M149" s="9"/>
      <c r="N149" s="9"/>
    </row>
    <row r="150" spans="2:14" x14ac:dyDescent="0.25">
      <c r="B150" s="5">
        <v>70</v>
      </c>
      <c r="C150" s="2">
        <f t="shared" si="4"/>
        <v>6956.1054934753829</v>
      </c>
      <c r="F150" s="2">
        <f t="shared" si="5"/>
        <v>1021.5902567550692</v>
      </c>
      <c r="I150" s="2">
        <f t="shared" si="6"/>
        <v>1287.2037235113871</v>
      </c>
      <c r="L150" s="31">
        <f t="shared" si="7"/>
        <v>3240.5353739399166</v>
      </c>
      <c r="M150" s="9"/>
      <c r="N150" s="9"/>
    </row>
    <row r="151" spans="2:14" x14ac:dyDescent="0.25">
      <c r="B151" s="5">
        <v>80</v>
      </c>
      <c r="C151" s="2">
        <f t="shared" si="4"/>
        <v>7949.8348496861518</v>
      </c>
      <c r="F151" s="2">
        <f t="shared" si="5"/>
        <v>1071.2767245656075</v>
      </c>
      <c r="I151" s="2">
        <f t="shared" si="6"/>
        <v>1349.8086729526656</v>
      </c>
      <c r="L151" s="31">
        <f t="shared" si="7"/>
        <v>3398.1433341583352</v>
      </c>
      <c r="M151" s="9"/>
      <c r="N151" s="9"/>
    </row>
    <row r="152" spans="2:14" x14ac:dyDescent="0.25">
      <c r="B152" s="5">
        <v>90</v>
      </c>
      <c r="C152" s="2">
        <f t="shared" si="4"/>
        <v>8943.5642058969206</v>
      </c>
      <c r="F152" s="2">
        <f t="shared" si="5"/>
        <v>1120.963192376146</v>
      </c>
      <c r="I152" s="2">
        <f t="shared" si="6"/>
        <v>1412.4136223939436</v>
      </c>
      <c r="L152" s="31">
        <f t="shared" si="7"/>
        <v>3555.7512943767529</v>
      </c>
      <c r="M152" s="9"/>
      <c r="N152" s="9"/>
    </row>
    <row r="153" spans="2:14" x14ac:dyDescent="0.25">
      <c r="B153" s="5">
        <v>100</v>
      </c>
      <c r="C153" s="2">
        <f t="shared" si="4"/>
        <v>9937.2935621076904</v>
      </c>
      <c r="F153" s="2">
        <f t="shared" si="5"/>
        <v>1170.6496601866845</v>
      </c>
      <c r="I153" s="2">
        <f t="shared" si="6"/>
        <v>1475.0185718352225</v>
      </c>
      <c r="L153" s="31">
        <f t="shared" si="7"/>
        <v>3713.3592545951724</v>
      </c>
      <c r="M153" s="9"/>
      <c r="N153" s="9"/>
    </row>
    <row r="154" spans="2:14" x14ac:dyDescent="0.25">
      <c r="B154" s="5">
        <v>110</v>
      </c>
      <c r="C154" s="2">
        <f t="shared" si="4"/>
        <v>10931.022918318458</v>
      </c>
      <c r="F154" s="2">
        <f t="shared" si="5"/>
        <v>1220.336127997223</v>
      </c>
      <c r="I154" s="2">
        <f t="shared" si="6"/>
        <v>1537.6235212765007</v>
      </c>
      <c r="L154" s="31">
        <f t="shared" si="7"/>
        <v>3870.9672148135905</v>
      </c>
      <c r="M154" s="9"/>
      <c r="N154" s="9"/>
    </row>
    <row r="155" spans="2:14" x14ac:dyDescent="0.25">
      <c r="B155" s="5">
        <v>120</v>
      </c>
      <c r="C155" s="2">
        <f t="shared" si="4"/>
        <v>11924.75227452923</v>
      </c>
      <c r="F155" s="2">
        <f t="shared" si="5"/>
        <v>1270.0225958077617</v>
      </c>
      <c r="I155" s="2">
        <f t="shared" si="6"/>
        <v>1600.2284707177794</v>
      </c>
      <c r="L155" s="31">
        <f t="shared" si="7"/>
        <v>4028.5751750320096</v>
      </c>
      <c r="M155" s="9"/>
      <c r="N155" s="9"/>
    </row>
    <row r="156" spans="2:14" x14ac:dyDescent="0.25">
      <c r="B156" s="5">
        <v>130</v>
      </c>
      <c r="C156" s="2">
        <f t="shared" si="4"/>
        <v>12918.481630739998</v>
      </c>
      <c r="F156" s="2">
        <f t="shared" si="5"/>
        <v>1319.7090636183</v>
      </c>
      <c r="I156" s="2">
        <f t="shared" si="6"/>
        <v>1662.8334201590576</v>
      </c>
      <c r="L156" s="31">
        <f t="shared" si="7"/>
        <v>4186.1831352504278</v>
      </c>
      <c r="M156" s="9"/>
      <c r="N156" s="9"/>
    </row>
    <row r="157" spans="2:14" x14ac:dyDescent="0.25">
      <c r="B157" s="5">
        <v>140</v>
      </c>
      <c r="C157" s="2">
        <f t="shared" si="4"/>
        <v>13912.210986950766</v>
      </c>
      <c r="F157" s="2">
        <f t="shared" si="5"/>
        <v>1369.3955314288382</v>
      </c>
      <c r="I157" s="2">
        <f t="shared" si="6"/>
        <v>1725.438369600336</v>
      </c>
      <c r="L157" s="31">
        <f t="shared" si="7"/>
        <v>4343.7910954688459</v>
      </c>
      <c r="M157" s="9"/>
      <c r="N157" s="9"/>
    </row>
    <row r="158" spans="2:14" x14ac:dyDescent="0.25">
      <c r="B158" s="5">
        <v>150</v>
      </c>
      <c r="C158" s="2">
        <f t="shared" si="4"/>
        <v>14905.940343161536</v>
      </c>
      <c r="F158" s="2">
        <f t="shared" si="5"/>
        <v>1419.081999239377</v>
      </c>
      <c r="I158" s="2">
        <f t="shared" si="6"/>
        <v>1788.0433190416147</v>
      </c>
      <c r="L158" s="31">
        <f t="shared" si="7"/>
        <v>4501.399055687265</v>
      </c>
      <c r="M158" s="9"/>
      <c r="N158" s="9"/>
    </row>
    <row r="159" spans="2:14" x14ac:dyDescent="0.25">
      <c r="B159" s="5">
        <v>160</v>
      </c>
      <c r="C159" s="2">
        <f t="shared" si="4"/>
        <v>15899.669699372304</v>
      </c>
      <c r="F159" s="2">
        <f t="shared" si="5"/>
        <v>1468.7684670499152</v>
      </c>
      <c r="I159" s="2">
        <f t="shared" si="6"/>
        <v>1850.6482684828929</v>
      </c>
      <c r="L159" s="31">
        <f t="shared" si="7"/>
        <v>4659.0070159056822</v>
      </c>
      <c r="M159" s="9"/>
      <c r="N159" s="9"/>
    </row>
  </sheetData>
  <mergeCells count="118">
    <mergeCell ref="B142:C145"/>
    <mergeCell ref="B121:C124"/>
    <mergeCell ref="I9:P9"/>
    <mergeCell ref="A32:D32"/>
    <mergeCell ref="A33:D33"/>
    <mergeCell ref="I68:J68"/>
    <mergeCell ref="B103:D103"/>
    <mergeCell ref="F103:G103"/>
    <mergeCell ref="T17:V17"/>
    <mergeCell ref="F99:G99"/>
    <mergeCell ref="B100:D100"/>
    <mergeCell ref="B101:D101"/>
    <mergeCell ref="B102:C102"/>
    <mergeCell ref="B96:C96"/>
    <mergeCell ref="A84:J84"/>
    <mergeCell ref="A89:J89"/>
    <mergeCell ref="A88:J88"/>
    <mergeCell ref="E24:F24"/>
    <mergeCell ref="E25:F25"/>
    <mergeCell ref="H50:I50"/>
    <mergeCell ref="A74:F74"/>
    <mergeCell ref="C54:F54"/>
    <mergeCell ref="C55:F55"/>
    <mergeCell ref="C58:F58"/>
    <mergeCell ref="A83:H83"/>
    <mergeCell ref="F96:G96"/>
    <mergeCell ref="F97:G97"/>
    <mergeCell ref="B99:D99"/>
    <mergeCell ref="L112:N112"/>
    <mergeCell ref="A81:I81"/>
    <mergeCell ref="D94:E94"/>
    <mergeCell ref="A78:J78"/>
    <mergeCell ref="A68:E68"/>
    <mergeCell ref="C69:F69"/>
    <mergeCell ref="C70:F70"/>
    <mergeCell ref="I74:J74"/>
    <mergeCell ref="I75:J75"/>
    <mergeCell ref="I76:J76"/>
    <mergeCell ref="I77:J77"/>
    <mergeCell ref="P115:Q115"/>
    <mergeCell ref="B112:D112"/>
    <mergeCell ref="B113:D113"/>
    <mergeCell ref="B114:C114"/>
    <mergeCell ref="B115:D115"/>
    <mergeCell ref="F115:G115"/>
    <mergeCell ref="P108:Q108"/>
    <mergeCell ref="P109:Q109"/>
    <mergeCell ref="L111:N111"/>
    <mergeCell ref="P111:Q111"/>
    <mergeCell ref="B108:C108"/>
    <mergeCell ref="L115:N115"/>
    <mergeCell ref="L108:M108"/>
    <mergeCell ref="F108:G108"/>
    <mergeCell ref="F109:G109"/>
    <mergeCell ref="B111:D111"/>
    <mergeCell ref="F111:G111"/>
    <mergeCell ref="L114:M114"/>
    <mergeCell ref="L113:N113"/>
    <mergeCell ref="K7:N7"/>
    <mergeCell ref="C2:F6"/>
    <mergeCell ref="H3:P5"/>
    <mergeCell ref="A11:F11"/>
    <mergeCell ref="A49:E49"/>
    <mergeCell ref="E14:F14"/>
    <mergeCell ref="A42:E42"/>
    <mergeCell ref="B41:D41"/>
    <mergeCell ref="F41:H41"/>
    <mergeCell ref="A24:D24"/>
    <mergeCell ref="A31:F31"/>
    <mergeCell ref="A36:E36"/>
    <mergeCell ref="A12:C12"/>
    <mergeCell ref="A19:F19"/>
    <mergeCell ref="B39:D39"/>
    <mergeCell ref="A28:D28"/>
    <mergeCell ref="F7:H7"/>
    <mergeCell ref="B8:C8"/>
    <mergeCell ref="E12:F12"/>
    <mergeCell ref="A43:J43"/>
    <mergeCell ref="O14:O15"/>
    <mergeCell ref="P14:P15"/>
    <mergeCell ref="O16:O17"/>
    <mergeCell ref="P16:P17"/>
    <mergeCell ref="A64:J64"/>
    <mergeCell ref="A73:E73"/>
    <mergeCell ref="C51:F51"/>
    <mergeCell ref="H51:I51"/>
    <mergeCell ref="C61:G61"/>
    <mergeCell ref="C52:F52"/>
    <mergeCell ref="C53:F53"/>
    <mergeCell ref="A20:F20"/>
    <mergeCell ref="C63:F63"/>
    <mergeCell ref="B40:D40"/>
    <mergeCell ref="E37:F37"/>
    <mergeCell ref="B38:D38"/>
    <mergeCell ref="B37:D37"/>
    <mergeCell ref="A25:D25"/>
    <mergeCell ref="E32:F32"/>
    <mergeCell ref="A45:J45"/>
    <mergeCell ref="A47:J47"/>
    <mergeCell ref="A66:I66"/>
    <mergeCell ref="A14:D14"/>
    <mergeCell ref="E15:F15"/>
    <mergeCell ref="A16:D16"/>
    <mergeCell ref="E16:F16"/>
    <mergeCell ref="E28:F28"/>
    <mergeCell ref="A23:F23"/>
    <mergeCell ref="K11:N11"/>
    <mergeCell ref="K12:N12"/>
    <mergeCell ref="K13:N13"/>
    <mergeCell ref="K14:N15"/>
    <mergeCell ref="K16:N17"/>
    <mergeCell ref="K18:N18"/>
    <mergeCell ref="A26:D26"/>
    <mergeCell ref="E26:F26"/>
    <mergeCell ref="A27:D27"/>
    <mergeCell ref="E27:F27"/>
    <mergeCell ref="A13:D13"/>
    <mergeCell ref="E13:F13"/>
  </mergeCells>
  <conditionalFormatting sqref="P1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{62A6BB7F-F7C1-4CA2-B851-B2089D72223A}</x14:id>
        </ext>
      </extLst>
    </cfRule>
  </conditionalFormatting>
  <dataValidations count="3">
    <dataValidation type="list" allowBlank="1" showInputMessage="1" showErrorMessage="1" sqref="F7:H7 T17:V17">
      <formula1>$Q$118:$Q$121</formula1>
    </dataValidation>
    <dataValidation type="list" allowBlank="1" showInputMessage="1" showErrorMessage="1" sqref="L51">
      <formula1>"LINEAR, MÉTODO COLE"</formula1>
    </dataValidation>
    <dataValidation type="list" allowBlank="1" showInputMessage="1" showErrorMessage="1" sqref="E15:F15">
      <formula1>"0,1,2,3,4,5,6,7,8,9,10,11,12,13,14,15"</formula1>
    </dataValidation>
  </dataValidations>
  <pageMargins left="0.51181102362204722" right="0.51181102362204722" top="0.78740157480314965" bottom="0.78740157480314965" header="0.31496062992125984" footer="0.31496062992125984"/>
  <pageSetup paperSize="9" scale="5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2A6BB7F-F7C1-4CA2-B851-B2089D7222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view="pageBreakPreview" zoomScale="80" zoomScaleNormal="100" zoomScaleSheetLayoutView="80" workbookViewId="0">
      <selection activeCell="G3" sqref="G3"/>
    </sheetView>
  </sheetViews>
  <sheetFormatPr defaultColWidth="8.85546875" defaultRowHeight="15" x14ac:dyDescent="0.25"/>
  <cols>
    <col min="1" max="1" width="17.85546875" customWidth="1"/>
    <col min="2" max="2" width="15" customWidth="1"/>
    <col min="3" max="3" width="15.28515625" customWidth="1"/>
    <col min="4" max="4" width="14.7109375" customWidth="1"/>
    <col min="5" max="5" width="16.42578125" customWidth="1"/>
    <col min="6" max="6" width="14.7109375" customWidth="1"/>
    <col min="7" max="7" width="14.85546875" customWidth="1"/>
    <col min="8" max="8" width="15" customWidth="1"/>
    <col min="9" max="9" width="15.140625" customWidth="1"/>
  </cols>
  <sheetData>
    <row r="2" spans="1:10" ht="27.75" customHeight="1" x14ac:dyDescent="0.25">
      <c r="A2" s="199" t="s">
        <v>198</v>
      </c>
      <c r="B2" s="200"/>
      <c r="C2" s="200"/>
      <c r="D2" s="200"/>
      <c r="E2" s="201"/>
      <c r="G2" s="208" t="s">
        <v>199</v>
      </c>
      <c r="H2" s="208"/>
      <c r="I2" s="208"/>
    </row>
    <row r="4" spans="1:10" ht="44.25" customHeight="1" x14ac:dyDescent="0.25">
      <c r="A4" s="209" t="s">
        <v>153</v>
      </c>
      <c r="B4" s="196" t="s">
        <v>152</v>
      </c>
      <c r="C4" s="197"/>
      <c r="D4" s="197"/>
      <c r="E4" s="197"/>
      <c r="F4" s="197"/>
      <c r="G4" s="197"/>
      <c r="H4" s="197"/>
      <c r="I4" s="198"/>
      <c r="J4" s="44"/>
    </row>
    <row r="5" spans="1:10" ht="60.75" customHeight="1" x14ac:dyDescent="0.25">
      <c r="A5" s="210"/>
      <c r="B5" s="202" t="s">
        <v>168</v>
      </c>
      <c r="C5" s="203"/>
      <c r="D5" s="204" t="s">
        <v>166</v>
      </c>
      <c r="E5" s="205"/>
      <c r="F5" s="206" t="s">
        <v>171</v>
      </c>
      <c r="G5" s="207"/>
      <c r="H5" s="195" t="s">
        <v>172</v>
      </c>
      <c r="I5" s="195"/>
    </row>
    <row r="6" spans="1:10" ht="48" customHeight="1" x14ac:dyDescent="0.25">
      <c r="A6" s="211"/>
      <c r="B6" s="104" t="s">
        <v>169</v>
      </c>
      <c r="C6" s="74" t="s">
        <v>170</v>
      </c>
      <c r="D6" s="104" t="s">
        <v>169</v>
      </c>
      <c r="E6" s="74" t="s">
        <v>170</v>
      </c>
      <c r="F6" s="104" t="s">
        <v>169</v>
      </c>
      <c r="G6" s="74" t="s">
        <v>170</v>
      </c>
      <c r="H6" s="106" t="s">
        <v>169</v>
      </c>
      <c r="I6" s="107" t="s">
        <v>170</v>
      </c>
    </row>
    <row r="7" spans="1:10" ht="43.5" customHeight="1" x14ac:dyDescent="0.25">
      <c r="A7" s="102" t="s">
        <v>154</v>
      </c>
      <c r="B7" s="99"/>
      <c r="C7" s="99"/>
      <c r="D7" s="99"/>
      <c r="E7" s="99"/>
      <c r="F7" s="99"/>
      <c r="G7" s="99"/>
      <c r="H7" s="99">
        <f>('COMPOSIÇÃO DOS CUSTOS'!C126+'COMPOSIÇÃO DOS CUSTOS'!F126+'COMPOSIÇÃO DOS CUSTOS'!I126+'COMPOSIÇÃO DOS CUSTOS'!L126+'COMPOSIÇÃO DOS CUSTOS'!$K$64)/('COMPOSIÇÃO DOS CUSTOS'!B126*21)</f>
        <v>25.613963052642994</v>
      </c>
      <c r="I7" s="99">
        <f>('COMPOSIÇÃO DOS CUSTOS'!C147+'COMPOSIÇÃO DOS CUSTOS'!F147+'COMPOSIÇÃO DOS CUSTOS'!I147+'COMPOSIÇÃO DOS CUSTOS'!L147+'COMPOSIÇÃO DOS CUSTOS'!$K$64)/('COMPOSIÇÃO DOS CUSTOS'!B147*21)</f>
        <v>26.416962247934222</v>
      </c>
    </row>
    <row r="8" spans="1:10" ht="37.5" customHeight="1" x14ac:dyDescent="0.25">
      <c r="A8" s="103" t="s">
        <v>155</v>
      </c>
      <c r="B8" s="99"/>
      <c r="C8" s="99"/>
      <c r="D8" s="99"/>
      <c r="E8" s="99"/>
      <c r="F8" s="99"/>
      <c r="G8" s="99"/>
      <c r="H8" s="99">
        <f>('COMPOSIÇÃO DOS CUSTOS'!C127+'COMPOSIÇÃO DOS CUSTOS'!F127+'COMPOSIÇÃO DOS CUSTOS'!I127+'COMPOSIÇÃO DOS CUSTOS'!L127+'COMPOSIÇÃO DOS CUSTOS'!$K$64)/('COMPOSIÇÃO DOS CUSTOS'!B127*21)</f>
        <v>21.534026539895208</v>
      </c>
      <c r="I8" s="99">
        <f>('COMPOSIÇÃO DOS CUSTOS'!C148+'COMPOSIÇÃO DOS CUSTOS'!F148+'COMPOSIÇÃO DOS CUSTOS'!I148+'COMPOSIÇÃO DOS CUSTOS'!L148+'COMPOSIÇÃO DOS CUSTOS'!$K$64)/('COMPOSIÇÃO DOS CUSTOS'!B148*21)</f>
        <v>22.337025735186423</v>
      </c>
    </row>
    <row r="9" spans="1:10" ht="39.75" customHeight="1" x14ac:dyDescent="0.25">
      <c r="A9" s="103" t="s">
        <v>156</v>
      </c>
      <c r="B9" s="99"/>
      <c r="C9" s="99"/>
      <c r="D9" s="99"/>
      <c r="E9" s="99"/>
      <c r="F9" s="99"/>
      <c r="G9" s="99"/>
      <c r="H9" s="99">
        <f>('COMPOSIÇÃO DOS CUSTOS'!C128+'COMPOSIÇÃO DOS CUSTOS'!F128+'COMPOSIÇÃO DOS CUSTOS'!I128+'COMPOSIÇÃO DOS CUSTOS'!L128+'COMPOSIÇÃO DOS CUSTOS'!$K$64)/('COMPOSIÇÃO DOS CUSTOS'!B128*21)</f>
        <v>18.814068864730011</v>
      </c>
      <c r="I9" s="99">
        <f>('COMPOSIÇÃO DOS CUSTOS'!C149+'COMPOSIÇÃO DOS CUSTOS'!F149+'COMPOSIÇÃO DOS CUSTOS'!I149+'COMPOSIÇÃO DOS CUSTOS'!L149+'COMPOSIÇÃO DOS CUSTOS'!$K$64)/('COMPOSIÇÃO DOS CUSTOS'!B149*21)</f>
        <v>19.617068060021229</v>
      </c>
    </row>
    <row r="10" spans="1:10" ht="39" customHeight="1" x14ac:dyDescent="0.25">
      <c r="A10" s="103" t="s">
        <v>157</v>
      </c>
      <c r="B10" s="99"/>
      <c r="C10" s="99"/>
      <c r="D10" s="99"/>
      <c r="E10" s="99"/>
      <c r="F10" s="99"/>
      <c r="G10" s="99"/>
      <c r="H10" s="99">
        <f>('COMPOSIÇÃO DOS CUSTOS'!C129+'COMPOSIÇÃO DOS CUSTOS'!F129+'COMPOSIÇÃO DOS CUSTOS'!I129+'COMPOSIÇÃO DOS CUSTOS'!L129+'COMPOSIÇÃO DOS CUSTOS'!$K$64)/('COMPOSIÇÃO DOS CUSTOS'!B129*21)</f>
        <v>16.871241953897727</v>
      </c>
      <c r="I10" s="99">
        <f>('COMPOSIÇÃO DOS CUSTOS'!C150+'COMPOSIÇÃO DOS CUSTOS'!F150+'COMPOSIÇÃO DOS CUSTOS'!I150+'COMPOSIÇÃO DOS CUSTOS'!L150+'COMPOSIÇÃO DOS CUSTOS'!$K$64)/('COMPOSIÇÃO DOS CUSTOS'!B150*21)</f>
        <v>17.674241149188948</v>
      </c>
    </row>
    <row r="11" spans="1:10" ht="42" customHeight="1" x14ac:dyDescent="0.25">
      <c r="A11" s="103" t="s">
        <v>173</v>
      </c>
      <c r="B11" s="99"/>
      <c r="C11" s="99"/>
      <c r="D11" s="99"/>
      <c r="E11" s="99"/>
      <c r="F11" s="99"/>
      <c r="G11" s="99"/>
      <c r="H11" s="99">
        <f>('COMPOSIÇÃO DOS CUSTOS'!C130+'COMPOSIÇÃO DOS CUSTOS'!F130+'COMPOSIÇÃO DOS CUSTOS'!I130+'COMPOSIÇÃO DOS CUSTOS'!L130+'COMPOSIÇÃO DOS CUSTOS'!$K$64)/('COMPOSIÇÃO DOS CUSTOS'!B130*21)</f>
        <v>15.414121770773514</v>
      </c>
      <c r="I11" s="99">
        <f>('COMPOSIÇÃO DOS CUSTOS'!C151+'COMPOSIÇÃO DOS CUSTOS'!F151+'COMPOSIÇÃO DOS CUSTOS'!I151+'COMPOSIÇÃO DOS CUSTOS'!L151+'COMPOSIÇÃO DOS CUSTOS'!$K$64)/('COMPOSIÇÃO DOS CUSTOS'!B151*21)</f>
        <v>16.217120966064737</v>
      </c>
    </row>
    <row r="12" spans="1:10" ht="39.75" customHeight="1" x14ac:dyDescent="0.25">
      <c r="A12" s="103" t="s">
        <v>174</v>
      </c>
      <c r="B12" s="99"/>
      <c r="C12" s="99"/>
      <c r="D12" s="99"/>
      <c r="E12" s="99"/>
      <c r="F12" s="99"/>
      <c r="G12" s="99"/>
      <c r="H12" s="99">
        <f>('COMPOSIÇÃO DOS CUSTOS'!C131+'COMPOSIÇÃO DOS CUSTOS'!F131+'COMPOSIÇÃO DOS CUSTOS'!I131+'COMPOSIÇÃO DOS CUSTOS'!L131+'COMPOSIÇÃO DOS CUSTOS'!$K$64)/('COMPOSIÇÃO DOS CUSTOS'!B131*21)</f>
        <v>14.280806072788018</v>
      </c>
      <c r="I12" s="99">
        <f>('COMPOSIÇÃO DOS CUSTOS'!C152+'COMPOSIÇÃO DOS CUSTOS'!F152+'COMPOSIÇÃO DOS CUSTOS'!I152+'COMPOSIÇÃO DOS CUSTOS'!L152+'COMPOSIÇÃO DOS CUSTOS'!$K$64)/('COMPOSIÇÃO DOS CUSTOS'!B152*21)</f>
        <v>15.083805268079239</v>
      </c>
    </row>
    <row r="13" spans="1:10" ht="36.75" customHeight="1" x14ac:dyDescent="0.25">
      <c r="A13" s="103" t="s">
        <v>158</v>
      </c>
      <c r="B13" s="99"/>
      <c r="C13" s="99"/>
      <c r="D13" s="99"/>
      <c r="E13" s="99"/>
      <c r="F13" s="99"/>
      <c r="G13" s="99"/>
      <c r="H13" s="99">
        <f>('COMPOSIÇÃO DOS CUSTOS'!C132+'COMPOSIÇÃO DOS CUSTOS'!F132+'COMPOSIÇÃO DOS CUSTOS'!I132+'COMPOSIÇÃO DOS CUSTOS'!L132+'COMPOSIÇÃO DOS CUSTOS'!$K$64)/('COMPOSIÇÃO DOS CUSTOS'!B132*21)</f>
        <v>13.374153514399621</v>
      </c>
      <c r="I13" s="99">
        <f>('COMPOSIÇÃO DOS CUSTOS'!C153+'COMPOSIÇÃO DOS CUSTOS'!F153+'COMPOSIÇÃO DOS CUSTOS'!I153+'COMPOSIÇÃO DOS CUSTOS'!L153+'COMPOSIÇÃO DOS CUSTOS'!$K$64)/('COMPOSIÇÃO DOS CUSTOS'!B153*21)</f>
        <v>14.177152709690843</v>
      </c>
    </row>
    <row r="14" spans="1:10" ht="39" customHeight="1" x14ac:dyDescent="0.25">
      <c r="A14" s="103" t="s">
        <v>159</v>
      </c>
      <c r="B14" s="99"/>
      <c r="C14" s="99"/>
      <c r="D14" s="99"/>
      <c r="E14" s="99"/>
      <c r="F14" s="99"/>
      <c r="G14" s="99"/>
      <c r="H14" s="99">
        <f>('COMPOSIÇÃO DOS CUSTOS'!C133+'COMPOSIÇÃO DOS CUSTOS'!F133+'COMPOSIÇÃO DOS CUSTOS'!I133+'COMPOSIÇÃO DOS CUSTOS'!L133+'COMPOSIÇÃO DOS CUSTOS'!$K$64)/('COMPOSIÇÃO DOS CUSTOS'!B133*21)</f>
        <v>12.632346875718204</v>
      </c>
      <c r="I14" s="99">
        <f>('COMPOSIÇÃO DOS CUSTOS'!C154+'COMPOSIÇÃO DOS CUSTOS'!F154+'COMPOSIÇÃO DOS CUSTOS'!I154+'COMPOSIÇÃO DOS CUSTOS'!L154+'COMPOSIÇÃO DOS CUSTOS'!$K$64)/('COMPOSIÇÃO DOS CUSTOS'!B154*21)</f>
        <v>13.435346071009425</v>
      </c>
    </row>
    <row r="15" spans="1:10" ht="37.5" customHeight="1" x14ac:dyDescent="0.25">
      <c r="A15" s="103" t="s">
        <v>160</v>
      </c>
      <c r="B15" s="99"/>
      <c r="C15" s="99"/>
      <c r="D15" s="99"/>
      <c r="E15" s="99"/>
      <c r="F15" s="99"/>
      <c r="G15" s="99"/>
      <c r="H15" s="99">
        <f>('COMPOSIÇÃO DOS CUSTOS'!C134+'COMPOSIÇÃO DOS CUSTOS'!F134+'COMPOSIÇÃO DOS CUSTOS'!I134+'COMPOSIÇÃO DOS CUSTOS'!L134+'COMPOSIÇÃO DOS CUSTOS'!$K$64)/('COMPOSIÇÃO DOS CUSTOS'!B134*21)</f>
        <v>12.014174676817024</v>
      </c>
      <c r="I15" s="99">
        <f>('COMPOSIÇÃO DOS CUSTOS'!C155+'COMPOSIÇÃO DOS CUSTOS'!F155+'COMPOSIÇÃO DOS CUSTOS'!I155+'COMPOSIÇÃO DOS CUSTOS'!L155+'COMPOSIÇÃO DOS CUSTOS'!$K$64)/('COMPOSIÇÃO DOS CUSTOS'!B155*21)</f>
        <v>12.817173872108244</v>
      </c>
    </row>
    <row r="16" spans="1:10" ht="41.25" customHeight="1" x14ac:dyDescent="0.25">
      <c r="A16" s="103" t="s">
        <v>161</v>
      </c>
      <c r="B16" s="99"/>
      <c r="C16" s="99"/>
      <c r="D16" s="99"/>
      <c r="E16" s="99"/>
      <c r="F16" s="99"/>
      <c r="G16" s="99"/>
      <c r="H16" s="99">
        <f>('COMPOSIÇÃO DOS CUSTOS'!C135+'COMPOSIÇÃO DOS CUSTOS'!F135+'COMPOSIÇÃO DOS CUSTOS'!I135+'COMPOSIÇÃO DOS CUSTOS'!L135+'COMPOSIÇÃO DOS CUSTOS'!$K$64)/('COMPOSIÇÃO DOS CUSTOS'!B135*21)</f>
        <v>11.49110589313141</v>
      </c>
      <c r="I16" s="99">
        <f>('COMPOSIÇÃO DOS CUSTOS'!C156+'COMPOSIÇÃO DOS CUSTOS'!F156+'COMPOSIÇÃO DOS CUSTOS'!I156+'COMPOSIÇÃO DOS CUSTOS'!L156+'COMPOSIÇÃO DOS CUSTOS'!$K$64)/('COMPOSIÇÃO DOS CUSTOS'!B156*21)</f>
        <v>12.294105088422631</v>
      </c>
    </row>
    <row r="17" spans="1:9" ht="40.5" customHeight="1" x14ac:dyDescent="0.25">
      <c r="A17" s="103" t="s">
        <v>162</v>
      </c>
      <c r="B17" s="100"/>
      <c r="C17" s="99"/>
      <c r="D17" s="99"/>
      <c r="E17" s="99"/>
      <c r="F17" s="99"/>
      <c r="G17" s="99"/>
      <c r="H17" s="99">
        <f>('COMPOSIÇÃO DOS CUSTOS'!C136+'COMPOSIÇÃO DOS CUSTOS'!F136+'COMPOSIÇÃO DOS CUSTOS'!I136+'COMPOSIÇÃO DOS CUSTOS'!L136+'COMPOSIÇÃO DOS CUSTOS'!$K$64)/('COMPOSIÇÃO DOS CUSTOS'!B136*21)</f>
        <v>11.042761221400882</v>
      </c>
      <c r="I17" s="99">
        <f>('COMPOSIÇÃO DOS CUSTOS'!C157+'COMPOSIÇÃO DOS CUSTOS'!F157+'COMPOSIÇÃO DOS CUSTOS'!I157+'COMPOSIÇÃO DOS CUSTOS'!L157+'COMPOSIÇÃO DOS CUSTOS'!$K$64)/('COMPOSIÇÃO DOS CUSTOS'!B157*21)</f>
        <v>11.845760416692103</v>
      </c>
    </row>
    <row r="18" spans="1:9" ht="42.75" customHeight="1" x14ac:dyDescent="0.25">
      <c r="A18" s="103" t="s">
        <v>163</v>
      </c>
      <c r="B18" s="99"/>
      <c r="C18" s="99"/>
      <c r="D18" s="99"/>
      <c r="E18" s="99"/>
      <c r="F18" s="99"/>
      <c r="G18" s="99"/>
      <c r="H18" s="99">
        <f>('COMPOSIÇÃO DOS CUSTOS'!C137+'COMPOSIÇÃO DOS CUSTOS'!F137+'COMPOSIÇÃO DOS CUSTOS'!I137+'COMPOSIÇÃO DOS CUSTOS'!L137+'COMPOSIÇÃO DOS CUSTOS'!$K$64)/('COMPOSIÇÃO DOS CUSTOS'!B137*21)</f>
        <v>10.654195839234427</v>
      </c>
      <c r="I18" s="99">
        <f>('COMPOSIÇÃO DOS CUSTOS'!C158+'COMPOSIÇÃO DOS CUSTOS'!F158+'COMPOSIÇÃO DOS CUSTOS'!I158+'COMPOSIÇÃO DOS CUSTOS'!L158+'COMPOSIÇÃO DOS CUSTOS'!$K$64)/('COMPOSIÇÃO DOS CUSTOS'!B158*21)</f>
        <v>11.457195034525649</v>
      </c>
    </row>
    <row r="19" spans="1:9" ht="34.5" customHeight="1" x14ac:dyDescent="0.25">
      <c r="A19" s="103" t="s">
        <v>197</v>
      </c>
      <c r="B19" s="99"/>
      <c r="C19" s="99"/>
      <c r="D19" s="99"/>
      <c r="E19" s="99"/>
      <c r="F19" s="99"/>
      <c r="G19" s="99"/>
      <c r="H19" s="99">
        <f>('COMPOSIÇÃO DOS CUSTOS'!C138+'COMPOSIÇÃO DOS CUSTOS'!F138+'COMPOSIÇÃO DOS CUSTOS'!I138+'COMPOSIÇÃO DOS CUSTOS'!L138+'COMPOSIÇÃO DOS CUSTOS'!$K$64)/('COMPOSIÇÃO DOS CUSTOS'!B138*21)</f>
        <v>10.314201129838779</v>
      </c>
      <c r="I19" s="99">
        <f>('COMPOSIÇÃO DOS CUSTOS'!C159+'COMPOSIÇÃO DOS CUSTOS'!F159+'COMPOSIÇÃO DOS CUSTOS'!I159+'COMPOSIÇÃO DOS CUSTOS'!L159+'COMPOSIÇÃO DOS CUSTOS'!$K$64)/('COMPOSIÇÃO DOS CUSTOS'!B159*21)</f>
        <v>11.117200325129996</v>
      </c>
    </row>
    <row r="20" spans="1:9" x14ac:dyDescent="0.25">
      <c r="B20" s="101"/>
      <c r="C20" s="101"/>
      <c r="D20" s="101"/>
      <c r="E20" s="101"/>
      <c r="F20" s="101"/>
      <c r="G20" s="101"/>
      <c r="H20" s="101"/>
      <c r="I20" s="101"/>
    </row>
  </sheetData>
  <mergeCells count="8">
    <mergeCell ref="H5:I5"/>
    <mergeCell ref="B4:I4"/>
    <mergeCell ref="A2:E2"/>
    <mergeCell ref="B5:C5"/>
    <mergeCell ref="D5:E5"/>
    <mergeCell ref="F5:G5"/>
    <mergeCell ref="G2:I2"/>
    <mergeCell ref="A4:A6"/>
  </mergeCells>
  <pageMargins left="0.511811024" right="0.511811024" top="0.78740157499999996" bottom="0.78740157499999996" header="0.31496062000000002" footer="0.31496062000000002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M27"/>
  <sheetViews>
    <sheetView workbookViewId="0">
      <selection activeCell="G18" sqref="G18"/>
    </sheetView>
  </sheetViews>
  <sheetFormatPr defaultColWidth="8.85546875" defaultRowHeight="15" x14ac:dyDescent="0.25"/>
  <cols>
    <col min="7" max="7" width="10" customWidth="1"/>
    <col min="11" max="11" width="4.28515625" customWidth="1"/>
    <col min="12" max="12" width="3.42578125" customWidth="1"/>
    <col min="13" max="13" width="4.42578125" customWidth="1"/>
    <col min="14" max="14" width="5.28515625" customWidth="1"/>
    <col min="15" max="15" width="4.42578125" customWidth="1"/>
    <col min="18" max="18" width="11.42578125" customWidth="1"/>
    <col min="19" max="19" width="5.28515625" customWidth="1"/>
    <col min="20" max="20" width="2.42578125" customWidth="1"/>
    <col min="23" max="23" width="5.42578125" customWidth="1"/>
    <col min="24" max="24" width="6" customWidth="1"/>
    <col min="25" max="25" width="2.42578125" customWidth="1"/>
    <col min="26" max="26" width="2" customWidth="1"/>
    <col min="29" max="29" width="4.28515625" customWidth="1"/>
    <col min="30" max="30" width="3.140625" customWidth="1"/>
    <col min="31" max="31" width="3.85546875" customWidth="1"/>
    <col min="32" max="33" width="2.7109375" customWidth="1"/>
    <col min="34" max="34" width="1.28515625" customWidth="1"/>
    <col min="35" max="35" width="4.7109375" customWidth="1"/>
    <col min="36" max="36" width="3.42578125" customWidth="1"/>
    <col min="37" max="37" width="1.85546875" customWidth="1"/>
    <col min="39" max="39" width="10.140625" bestFit="1" customWidth="1"/>
  </cols>
  <sheetData>
    <row r="2" spans="2:39" ht="18.75" x14ac:dyDescent="0.3">
      <c r="D2" s="212" t="s">
        <v>126</v>
      </c>
      <c r="E2" s="212"/>
      <c r="F2" s="212"/>
      <c r="G2" s="212"/>
      <c r="H2" s="212"/>
    </row>
    <row r="4" spans="2:39" ht="18.75" x14ac:dyDescent="0.3">
      <c r="D4" s="212" t="s">
        <v>127</v>
      </c>
      <c r="E4" s="212"/>
      <c r="F4" s="212"/>
      <c r="G4" s="212"/>
      <c r="H4" s="212"/>
      <c r="I4" s="212"/>
      <c r="J4" s="212"/>
      <c r="K4" s="212"/>
      <c r="L4" s="212"/>
      <c r="M4" s="212"/>
    </row>
    <row r="6" spans="2:39" ht="17.25" customHeight="1" x14ac:dyDescent="0.25">
      <c r="D6" s="44"/>
      <c r="E6" s="44"/>
      <c r="F6" s="44"/>
      <c r="G6" s="44"/>
      <c r="H6" s="44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9" spans="2:39" ht="21" x14ac:dyDescent="0.35">
      <c r="B9" s="163" t="s">
        <v>105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Q9" s="32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</row>
    <row r="10" spans="2:39" ht="21" x14ac:dyDescent="0.35">
      <c r="B10" s="221" t="s">
        <v>91</v>
      </c>
      <c r="C10" s="221"/>
      <c r="D10" s="222" t="s">
        <v>92</v>
      </c>
      <c r="E10" s="222"/>
      <c r="F10" s="222"/>
      <c r="G10" s="222"/>
      <c r="H10" s="222"/>
      <c r="I10" s="222"/>
      <c r="J10" s="222"/>
      <c r="K10" s="223" t="s">
        <v>96</v>
      </c>
      <c r="L10" s="223"/>
      <c r="M10" s="223"/>
      <c r="N10" s="223"/>
      <c r="O10" s="223"/>
      <c r="Q10" s="34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9"/>
    </row>
    <row r="11" spans="2:39" ht="18" customHeight="1" x14ac:dyDescent="0.25">
      <c r="B11" s="221"/>
      <c r="C11" s="221"/>
      <c r="D11" s="224" t="s">
        <v>93</v>
      </c>
      <c r="E11" s="224"/>
      <c r="F11" s="224"/>
      <c r="G11" s="224" t="s">
        <v>95</v>
      </c>
      <c r="H11" s="224"/>
      <c r="I11" s="224"/>
      <c r="J11" s="224"/>
      <c r="K11" s="223"/>
      <c r="L11" s="223"/>
      <c r="M11" s="223"/>
      <c r="N11" s="223"/>
      <c r="O11" s="223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35"/>
    </row>
    <row r="12" spans="2:39" ht="17.25" customHeight="1" x14ac:dyDescent="0.25">
      <c r="B12" s="221"/>
      <c r="C12" s="221"/>
      <c r="D12" s="224" t="s">
        <v>94</v>
      </c>
      <c r="E12" s="224"/>
      <c r="F12" s="224"/>
      <c r="G12" s="224" t="s">
        <v>94</v>
      </c>
      <c r="H12" s="224"/>
      <c r="I12" s="224"/>
      <c r="J12" s="224"/>
      <c r="K12" s="224" t="s">
        <v>97</v>
      </c>
      <c r="L12" s="225"/>
      <c r="M12" s="225"/>
      <c r="N12" s="225"/>
      <c r="O12" s="225"/>
      <c r="Q12" s="35"/>
      <c r="R12" s="226"/>
      <c r="S12" s="226"/>
      <c r="T12" s="35"/>
      <c r="U12" s="36"/>
      <c r="V12" s="36"/>
      <c r="W12" s="36"/>
      <c r="X12" s="35"/>
      <c r="Y12" s="35"/>
      <c r="Z12" s="35"/>
      <c r="AA12" s="37"/>
      <c r="AB12" s="35"/>
      <c r="AC12" s="35"/>
      <c r="AD12" s="35"/>
      <c r="AE12" s="35"/>
      <c r="AF12" s="35"/>
      <c r="AG12" s="227"/>
      <c r="AH12" s="227"/>
      <c r="AI12" s="227"/>
      <c r="AJ12" s="227"/>
      <c r="AK12" s="227"/>
      <c r="AL12" s="35"/>
      <c r="AM12" s="38"/>
    </row>
    <row r="13" spans="2:39" x14ac:dyDescent="0.25">
      <c r="B13" s="217" t="s">
        <v>98</v>
      </c>
      <c r="C13" s="217"/>
      <c r="D13" s="218">
        <v>8</v>
      </c>
      <c r="E13" s="218"/>
      <c r="F13" s="218"/>
      <c r="G13" s="218">
        <v>5</v>
      </c>
      <c r="H13" s="218"/>
      <c r="I13" s="218"/>
      <c r="J13" s="218"/>
      <c r="K13" s="219">
        <v>0.2</v>
      </c>
      <c r="L13" s="219"/>
      <c r="M13" s="219"/>
      <c r="N13" s="219"/>
      <c r="O13" s="219"/>
      <c r="Q13" s="35"/>
      <c r="R13" s="226"/>
      <c r="S13" s="226"/>
      <c r="T13" s="35"/>
      <c r="U13" s="36"/>
      <c r="V13" s="36"/>
      <c r="W13" s="36"/>
      <c r="X13" s="35"/>
      <c r="Y13" s="35"/>
      <c r="Z13" s="35"/>
      <c r="AA13" s="37"/>
      <c r="AB13" s="35"/>
      <c r="AC13" s="35"/>
      <c r="AD13" s="35"/>
      <c r="AE13" s="35"/>
      <c r="AF13" s="35"/>
      <c r="AG13" s="227"/>
      <c r="AH13" s="227"/>
      <c r="AI13" s="227"/>
      <c r="AJ13" s="227"/>
      <c r="AK13" s="227"/>
      <c r="AL13" s="35"/>
      <c r="AM13" s="38"/>
    </row>
    <row r="14" spans="2:39" x14ac:dyDescent="0.25">
      <c r="B14" s="217"/>
      <c r="C14" s="217"/>
      <c r="D14" s="218"/>
      <c r="E14" s="218"/>
      <c r="F14" s="218"/>
      <c r="G14" s="218"/>
      <c r="H14" s="218"/>
      <c r="I14" s="218"/>
      <c r="J14" s="218"/>
      <c r="K14" s="219"/>
      <c r="L14" s="219"/>
      <c r="M14" s="219"/>
      <c r="N14" s="219"/>
      <c r="O14" s="219"/>
      <c r="Q14" s="35"/>
      <c r="R14" s="226"/>
      <c r="S14" s="226"/>
      <c r="T14" s="35"/>
      <c r="U14" s="36"/>
      <c r="V14" s="36"/>
      <c r="W14" s="36"/>
      <c r="X14" s="35"/>
      <c r="Y14" s="35"/>
      <c r="Z14" s="35"/>
      <c r="AA14" s="37"/>
      <c r="AB14" s="35"/>
      <c r="AC14" s="35"/>
      <c r="AD14" s="35"/>
      <c r="AE14" s="35"/>
      <c r="AF14" s="35"/>
      <c r="AG14" s="227"/>
      <c r="AH14" s="227"/>
      <c r="AI14" s="227"/>
      <c r="AJ14" s="227"/>
      <c r="AK14" s="227"/>
      <c r="AL14" s="35"/>
      <c r="AM14" s="38"/>
    </row>
    <row r="15" spans="2:39" x14ac:dyDescent="0.25">
      <c r="B15" s="217" t="s">
        <v>99</v>
      </c>
      <c r="C15" s="217"/>
      <c r="D15" s="220">
        <v>10</v>
      </c>
      <c r="E15" s="220"/>
      <c r="F15" s="220"/>
      <c r="G15" s="218">
        <v>5</v>
      </c>
      <c r="H15" s="218"/>
      <c r="I15" s="218"/>
      <c r="J15" s="218"/>
      <c r="K15" s="219">
        <v>0.1</v>
      </c>
      <c r="L15" s="219"/>
      <c r="M15" s="219"/>
      <c r="N15" s="219"/>
      <c r="O15" s="219"/>
      <c r="Q15" s="35"/>
      <c r="R15" s="226"/>
      <c r="S15" s="226"/>
      <c r="T15" s="35"/>
      <c r="U15" s="36"/>
      <c r="V15" s="36"/>
      <c r="W15" s="36"/>
      <c r="X15" s="35"/>
      <c r="Y15" s="35"/>
      <c r="Z15" s="35"/>
      <c r="AA15" s="37"/>
      <c r="AB15" s="35"/>
      <c r="AC15" s="35"/>
      <c r="AD15" s="35"/>
      <c r="AE15" s="35"/>
      <c r="AF15" s="35"/>
      <c r="AG15" s="227"/>
      <c r="AH15" s="227"/>
      <c r="AI15" s="227"/>
      <c r="AJ15" s="227"/>
      <c r="AK15" s="227"/>
      <c r="AL15" s="35"/>
      <c r="AM15" s="38"/>
    </row>
    <row r="16" spans="2:39" x14ac:dyDescent="0.25">
      <c r="B16" s="217"/>
      <c r="C16" s="217"/>
      <c r="D16" s="220"/>
      <c r="E16" s="220"/>
      <c r="F16" s="220"/>
      <c r="G16" s="218"/>
      <c r="H16" s="218"/>
      <c r="I16" s="218"/>
      <c r="J16" s="218"/>
      <c r="K16" s="219"/>
      <c r="L16" s="219"/>
      <c r="M16" s="219"/>
      <c r="N16" s="219"/>
      <c r="O16" s="219"/>
      <c r="Q16" s="35"/>
      <c r="R16" s="226"/>
      <c r="S16" s="226"/>
      <c r="T16" s="35"/>
      <c r="U16" s="36"/>
      <c r="V16" s="36"/>
      <c r="W16" s="36"/>
      <c r="X16" s="35"/>
      <c r="Y16" s="35"/>
      <c r="Z16" s="35"/>
      <c r="AA16" s="37"/>
      <c r="AB16" s="35"/>
      <c r="AC16" s="35"/>
      <c r="AD16" s="35"/>
      <c r="AE16" s="35"/>
      <c r="AF16" s="35"/>
      <c r="AG16" s="227"/>
      <c r="AH16" s="227"/>
      <c r="AI16" s="227"/>
      <c r="AJ16" s="227"/>
      <c r="AK16" s="227"/>
      <c r="AL16" s="35"/>
      <c r="AM16" s="38"/>
    </row>
    <row r="17" spans="2:39" x14ac:dyDescent="0.25">
      <c r="Q17" s="35"/>
      <c r="R17" s="226"/>
      <c r="S17" s="226"/>
      <c r="T17" s="35"/>
      <c r="U17" s="36"/>
      <c r="V17" s="36"/>
      <c r="W17" s="36"/>
      <c r="X17" s="35"/>
      <c r="Y17" s="35"/>
      <c r="Z17" s="35"/>
      <c r="AA17" s="37"/>
      <c r="AB17" s="35"/>
      <c r="AC17" s="35"/>
      <c r="AD17" s="35"/>
      <c r="AE17" s="35"/>
      <c r="AF17" s="35"/>
      <c r="AG17" s="227"/>
      <c r="AH17" s="227"/>
      <c r="AI17" s="227"/>
      <c r="AJ17" s="227"/>
      <c r="AK17" s="227"/>
      <c r="AL17" s="35"/>
      <c r="AM17" s="38"/>
    </row>
    <row r="18" spans="2:39" x14ac:dyDescent="0.25">
      <c r="Q18" s="35"/>
      <c r="R18" s="226"/>
      <c r="S18" s="226"/>
      <c r="T18" s="35"/>
      <c r="U18" s="36"/>
      <c r="V18" s="36"/>
      <c r="W18" s="36"/>
      <c r="X18" s="35"/>
      <c r="Y18" s="35"/>
      <c r="Z18" s="35"/>
      <c r="AA18" s="37"/>
      <c r="AB18" s="35"/>
      <c r="AC18" s="35"/>
      <c r="AD18" s="35"/>
      <c r="AE18" s="35"/>
      <c r="AF18" s="35"/>
      <c r="AG18" s="227"/>
      <c r="AH18" s="227"/>
      <c r="AI18" s="227"/>
      <c r="AJ18" s="227"/>
      <c r="AK18" s="227"/>
      <c r="AL18" s="35"/>
      <c r="AM18" s="38"/>
    </row>
    <row r="19" spans="2:39" x14ac:dyDescent="0.25">
      <c r="Q19" s="35"/>
      <c r="R19" s="226"/>
      <c r="S19" s="226"/>
      <c r="T19" s="35"/>
      <c r="U19" s="36"/>
      <c r="V19" s="36"/>
      <c r="W19" s="36"/>
      <c r="X19" s="35"/>
      <c r="Y19" s="35"/>
      <c r="Z19" s="35"/>
      <c r="AA19" s="37"/>
      <c r="AB19" s="35"/>
      <c r="AC19" s="35"/>
      <c r="AD19" s="35"/>
      <c r="AE19" s="35"/>
      <c r="AF19" s="35"/>
      <c r="AG19" s="227"/>
      <c r="AH19" s="227"/>
      <c r="AI19" s="227"/>
      <c r="AJ19" s="227"/>
      <c r="AK19" s="227"/>
      <c r="AL19" s="35"/>
      <c r="AM19" s="38"/>
    </row>
    <row r="20" spans="2:39" ht="15.75" x14ac:dyDescent="0.25">
      <c r="B20" s="215" t="s">
        <v>104</v>
      </c>
      <c r="C20" s="215"/>
      <c r="D20" s="21"/>
      <c r="F20" s="22" t="s">
        <v>66</v>
      </c>
      <c r="G20" s="23"/>
      <c r="H20" s="213">
        <f>+'COMPOSIÇÃO DOS CUSTOS'!E12</f>
        <v>469499</v>
      </c>
      <c r="I20" s="213"/>
      <c r="L20" s="9"/>
      <c r="M20" s="9"/>
      <c r="O20" s="9"/>
      <c r="P20" s="31"/>
      <c r="Q20" s="35"/>
      <c r="R20" s="226"/>
      <c r="S20" s="226"/>
      <c r="T20" s="35"/>
      <c r="U20" s="36"/>
      <c r="V20" s="36"/>
      <c r="W20" s="36"/>
      <c r="X20" s="35"/>
      <c r="Y20" s="35"/>
      <c r="Z20" s="35"/>
      <c r="AA20" s="37"/>
      <c r="AB20" s="35"/>
      <c r="AC20" s="35"/>
      <c r="AD20" s="35"/>
      <c r="AE20" s="35"/>
      <c r="AF20" s="35"/>
      <c r="AG20" s="227"/>
      <c r="AH20" s="227"/>
      <c r="AI20" s="227"/>
      <c r="AJ20" s="227"/>
      <c r="AK20" s="227"/>
      <c r="AL20" s="35"/>
      <c r="AM20" s="38"/>
    </row>
    <row r="21" spans="2:39" x14ac:dyDescent="0.25">
      <c r="B21" s="216" t="s">
        <v>100</v>
      </c>
      <c r="C21" s="216"/>
      <c r="F21" s="22" t="s">
        <v>103</v>
      </c>
      <c r="G21" s="23"/>
      <c r="H21" s="213">
        <f>H20*K15</f>
        <v>46949.9</v>
      </c>
      <c r="I21" s="213"/>
      <c r="L21" s="9"/>
      <c r="O21" s="9"/>
      <c r="P21" s="31"/>
      <c r="Q21" s="35"/>
      <c r="R21" s="226"/>
      <c r="S21" s="226"/>
      <c r="T21" s="35"/>
      <c r="U21" s="36"/>
      <c r="V21" s="36"/>
      <c r="W21" s="36"/>
      <c r="X21" s="35"/>
      <c r="Y21" s="35"/>
      <c r="Z21" s="35"/>
      <c r="AA21" s="37"/>
      <c r="AB21" s="35"/>
      <c r="AC21" s="35"/>
      <c r="AD21" s="35"/>
      <c r="AE21" s="35"/>
      <c r="AF21" s="35"/>
      <c r="AG21" s="227"/>
      <c r="AH21" s="227"/>
      <c r="AI21" s="227"/>
      <c r="AJ21" s="227"/>
      <c r="AK21" s="227"/>
      <c r="AL21" s="35"/>
      <c r="AM21" s="38"/>
    </row>
    <row r="22" spans="2:39" x14ac:dyDescent="0.25">
      <c r="F22" s="22" t="s">
        <v>101</v>
      </c>
      <c r="G22" s="23"/>
      <c r="H22" s="213">
        <f>(H20-H21)/D15</f>
        <v>42254.909999999996</v>
      </c>
      <c r="I22" s="213"/>
      <c r="O22" s="9"/>
      <c r="P22" s="31"/>
      <c r="Q22" s="35"/>
      <c r="R22" s="226"/>
      <c r="S22" s="226"/>
      <c r="T22" s="35"/>
      <c r="U22" s="36"/>
      <c r="V22" s="36"/>
      <c r="W22" s="36"/>
      <c r="X22" s="35"/>
      <c r="Y22" s="35"/>
      <c r="Z22" s="35"/>
      <c r="AA22" s="37"/>
      <c r="AB22" s="35"/>
      <c r="AC22" s="35"/>
      <c r="AD22" s="35"/>
      <c r="AE22" s="35"/>
      <c r="AF22" s="35"/>
      <c r="AG22" s="227"/>
      <c r="AH22" s="227"/>
      <c r="AI22" s="227"/>
      <c r="AJ22" s="227"/>
      <c r="AK22" s="227"/>
      <c r="AL22" s="35"/>
      <c r="AM22" s="38"/>
    </row>
    <row r="23" spans="2:39" x14ac:dyDescent="0.25">
      <c r="F23" s="22" t="s">
        <v>102</v>
      </c>
      <c r="G23" s="23"/>
      <c r="H23" s="213">
        <f>$H$22/12</f>
        <v>3521.2424999999998</v>
      </c>
      <c r="I23" s="214"/>
      <c r="O23" s="9"/>
      <c r="P23" s="31"/>
      <c r="Q23" s="35"/>
      <c r="R23" s="226"/>
      <c r="S23" s="226"/>
      <c r="T23" s="35"/>
      <c r="U23" s="36"/>
      <c r="V23" s="36"/>
      <c r="W23" s="36"/>
      <c r="X23" s="35"/>
      <c r="Y23" s="35"/>
      <c r="Z23" s="35"/>
      <c r="AA23" s="37"/>
      <c r="AB23" s="35"/>
      <c r="AC23" s="35"/>
      <c r="AD23" s="35"/>
      <c r="AE23" s="35"/>
      <c r="AF23" s="35"/>
      <c r="AG23" s="227"/>
      <c r="AH23" s="227"/>
      <c r="AI23" s="227"/>
      <c r="AJ23" s="227"/>
      <c r="AK23" s="227"/>
      <c r="AL23" s="35"/>
      <c r="AM23" s="38"/>
    </row>
    <row r="24" spans="2:39" x14ac:dyDescent="0.25">
      <c r="Q24" s="35"/>
      <c r="R24" s="226"/>
      <c r="S24" s="226"/>
      <c r="T24" s="35"/>
      <c r="U24" s="36"/>
      <c r="V24" s="36"/>
      <c r="W24" s="36"/>
      <c r="X24" s="35"/>
      <c r="Y24" s="35"/>
      <c r="Z24" s="35"/>
      <c r="AA24" s="37"/>
      <c r="AB24" s="35"/>
      <c r="AC24" s="35"/>
      <c r="AD24" s="35"/>
      <c r="AE24" s="35"/>
      <c r="AF24" s="35"/>
      <c r="AG24" s="227"/>
      <c r="AH24" s="227"/>
      <c r="AI24" s="227"/>
      <c r="AJ24" s="227"/>
      <c r="AK24" s="227"/>
      <c r="AL24" s="35"/>
      <c r="AM24" s="38"/>
    </row>
    <row r="25" spans="2:39" x14ac:dyDescent="0.25">
      <c r="Q25" s="35"/>
      <c r="R25" s="226"/>
      <c r="S25" s="226"/>
      <c r="T25" s="35"/>
      <c r="U25" s="36"/>
      <c r="V25" s="36"/>
      <c r="W25" s="36"/>
      <c r="X25" s="35"/>
      <c r="Y25" s="35"/>
      <c r="Z25" s="35"/>
      <c r="AA25" s="37"/>
      <c r="AB25" s="35"/>
      <c r="AC25" s="35"/>
      <c r="AD25" s="35"/>
      <c r="AE25" s="35"/>
      <c r="AF25" s="35"/>
      <c r="AG25" s="227"/>
      <c r="AH25" s="227"/>
      <c r="AI25" s="227"/>
      <c r="AJ25" s="227"/>
      <c r="AK25" s="227"/>
      <c r="AL25" s="35"/>
      <c r="AM25" s="38"/>
    </row>
    <row r="26" spans="2:39" x14ac:dyDescent="0.25">
      <c r="Q26" s="35"/>
      <c r="R26" s="226"/>
      <c r="S26" s="226"/>
      <c r="T26" s="35"/>
      <c r="U26" s="36"/>
      <c r="V26" s="36"/>
      <c r="W26" s="36"/>
      <c r="X26" s="35"/>
      <c r="Y26" s="35"/>
      <c r="Z26" s="35"/>
      <c r="AA26" s="37"/>
      <c r="AB26" s="35"/>
      <c r="AC26" s="35"/>
      <c r="AD26" s="35"/>
      <c r="AE26" s="35"/>
      <c r="AF26" s="35"/>
      <c r="AG26" s="227"/>
      <c r="AH26" s="227"/>
      <c r="AI26" s="227"/>
      <c r="AJ26" s="227"/>
      <c r="AK26" s="227"/>
      <c r="AL26" s="35"/>
      <c r="AM26" s="38"/>
    </row>
    <row r="27" spans="2:39" x14ac:dyDescent="0.25">
      <c r="Q27" s="35"/>
      <c r="R27" s="226"/>
      <c r="S27" s="226"/>
      <c r="T27" s="35"/>
      <c r="U27" s="36"/>
      <c r="V27" s="36"/>
      <c r="W27" s="35"/>
      <c r="X27" s="35"/>
      <c r="Y27" s="35"/>
      <c r="Z27" s="35"/>
      <c r="AA27" s="37"/>
      <c r="AB27" s="35"/>
      <c r="AC27" s="35"/>
      <c r="AD27" s="35"/>
      <c r="AE27" s="35"/>
      <c r="AF27" s="35"/>
      <c r="AG27" s="227"/>
      <c r="AH27" s="227"/>
      <c r="AI27" s="227"/>
      <c r="AJ27" s="227"/>
      <c r="AK27" s="227"/>
      <c r="AL27" s="35"/>
      <c r="AM27" s="38"/>
    </row>
  </sheetData>
  <mergeCells count="60">
    <mergeCell ref="D4:H4"/>
    <mergeCell ref="Q6:AM6"/>
    <mergeCell ref="R26:S26"/>
    <mergeCell ref="AG26:AK26"/>
    <mergeCell ref="R20:S20"/>
    <mergeCell ref="AG20:AK20"/>
    <mergeCell ref="R21:S21"/>
    <mergeCell ref="AG21:AK21"/>
    <mergeCell ref="R22:S22"/>
    <mergeCell ref="AG22:AK22"/>
    <mergeCell ref="R17:S17"/>
    <mergeCell ref="AG17:AK17"/>
    <mergeCell ref="R18:S18"/>
    <mergeCell ref="AG18:AK18"/>
    <mergeCell ref="R19:S19"/>
    <mergeCell ref="AG19:AK19"/>
    <mergeCell ref="R27:S27"/>
    <mergeCell ref="AG27:AK27"/>
    <mergeCell ref="R23:S23"/>
    <mergeCell ref="AG23:AK23"/>
    <mergeCell ref="R24:S24"/>
    <mergeCell ref="AG24:AK24"/>
    <mergeCell ref="R25:S25"/>
    <mergeCell ref="AG25:AK25"/>
    <mergeCell ref="R14:S14"/>
    <mergeCell ref="AG14:AK14"/>
    <mergeCell ref="R15:S15"/>
    <mergeCell ref="AG15:AK15"/>
    <mergeCell ref="R16:S16"/>
    <mergeCell ref="AG16:AK16"/>
    <mergeCell ref="AA11:AK11"/>
    <mergeCell ref="R12:S12"/>
    <mergeCell ref="AG12:AK12"/>
    <mergeCell ref="R13:S13"/>
    <mergeCell ref="AG13:AK13"/>
    <mergeCell ref="B9:O9"/>
    <mergeCell ref="B10:C12"/>
    <mergeCell ref="D10:J10"/>
    <mergeCell ref="K10:O11"/>
    <mergeCell ref="D11:F11"/>
    <mergeCell ref="G11:J11"/>
    <mergeCell ref="D12:F12"/>
    <mergeCell ref="G12:J12"/>
    <mergeCell ref="K12:O12"/>
    <mergeCell ref="D2:H2"/>
    <mergeCell ref="I4:M4"/>
    <mergeCell ref="H22:I22"/>
    <mergeCell ref="H23:I23"/>
    <mergeCell ref="B20:C20"/>
    <mergeCell ref="B21:C21"/>
    <mergeCell ref="H20:I20"/>
    <mergeCell ref="H21:I21"/>
    <mergeCell ref="B13:C14"/>
    <mergeCell ref="D13:F14"/>
    <mergeCell ref="G13:J14"/>
    <mergeCell ref="K13:O14"/>
    <mergeCell ref="B15:C16"/>
    <mergeCell ref="D15:F16"/>
    <mergeCell ref="G15:J16"/>
    <mergeCell ref="K15:O16"/>
  </mergeCells>
  <pageMargins left="0.511811024" right="0.511811024" top="0.78740157499999996" bottom="0.78740157499999996" header="0.31496062000000002" footer="0.31496062000000002"/>
  <pageSetup paperSize="9" scale="5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B14"/>
  <sheetViews>
    <sheetView zoomScale="70" zoomScaleNormal="70" workbookViewId="0">
      <selection activeCell="J21" sqref="J21"/>
    </sheetView>
  </sheetViews>
  <sheetFormatPr defaultColWidth="9.140625" defaultRowHeight="15" x14ac:dyDescent="0.2"/>
  <cols>
    <col min="1" max="1" width="46.85546875" style="24" customWidth="1"/>
    <col min="2" max="2" width="14.42578125" style="24" customWidth="1"/>
    <col min="3" max="3" width="21.28515625" style="24" bestFit="1" customWidth="1"/>
    <col min="4" max="4" width="18.42578125" style="24" bestFit="1" customWidth="1"/>
    <col min="5" max="5" width="13.85546875" style="24" bestFit="1" customWidth="1"/>
    <col min="6" max="6" width="18.85546875" style="24" bestFit="1" customWidth="1"/>
    <col min="7" max="7" width="16.42578125" style="24" customWidth="1"/>
    <col min="8" max="8" width="18.42578125" style="24" bestFit="1" customWidth="1"/>
    <col min="9" max="9" width="18.85546875" style="24" bestFit="1" customWidth="1"/>
    <col min="10" max="10" width="15.7109375" style="24" customWidth="1"/>
    <col min="11" max="11" width="15" style="24" bestFit="1" customWidth="1"/>
    <col min="12" max="12" width="12.7109375" style="24" customWidth="1"/>
    <col min="13" max="13" width="13.42578125" style="24" bestFit="1" customWidth="1"/>
    <col min="14" max="16384" width="9.140625" style="24"/>
  </cols>
  <sheetData>
    <row r="1" spans="1:28" ht="15.75" x14ac:dyDescent="0.2">
      <c r="A1" s="82"/>
      <c r="B1" s="82"/>
      <c r="C1" s="77"/>
      <c r="D1" s="77"/>
      <c r="E1" s="77"/>
      <c r="F1" s="82"/>
      <c r="G1" s="82"/>
      <c r="H1" s="82"/>
      <c r="I1" s="77"/>
      <c r="J1" s="82"/>
      <c r="K1" s="82"/>
      <c r="L1" s="82"/>
      <c r="M1" s="77"/>
    </row>
    <row r="2" spans="1:28" ht="15.75" x14ac:dyDescent="0.2">
      <c r="A2" s="77"/>
      <c r="B2" s="78"/>
      <c r="C2" s="78"/>
      <c r="D2" s="78"/>
      <c r="E2" s="78"/>
      <c r="F2" s="78"/>
      <c r="G2" s="78"/>
      <c r="H2" s="79"/>
      <c r="I2" s="80"/>
      <c r="J2" s="79"/>
      <c r="K2" s="81"/>
      <c r="L2" s="78"/>
      <c r="M2" s="78"/>
    </row>
    <row r="3" spans="1:28" ht="78.75" x14ac:dyDescent="0.2">
      <c r="A3" s="86" t="s">
        <v>108</v>
      </c>
      <c r="B3" s="86" t="s">
        <v>176</v>
      </c>
      <c r="C3" s="87" t="s">
        <v>109</v>
      </c>
      <c r="D3" s="87" t="s">
        <v>110</v>
      </c>
      <c r="E3" s="86" t="s">
        <v>111</v>
      </c>
      <c r="F3" s="86" t="s">
        <v>177</v>
      </c>
      <c r="G3" s="87" t="s">
        <v>112</v>
      </c>
      <c r="H3" s="86" t="s">
        <v>113</v>
      </c>
      <c r="I3" s="86" t="s">
        <v>114</v>
      </c>
      <c r="J3" s="86" t="s">
        <v>115</v>
      </c>
      <c r="K3" s="87" t="s">
        <v>116</v>
      </c>
      <c r="L3" s="78"/>
      <c r="M3" s="78"/>
    </row>
    <row r="4" spans="1:28" s="27" customFormat="1" ht="63" x14ac:dyDescent="0.2">
      <c r="A4" s="88" t="s">
        <v>178</v>
      </c>
      <c r="B4" s="89" t="s">
        <v>179</v>
      </c>
      <c r="C4" s="89" t="s">
        <v>117</v>
      </c>
      <c r="D4" s="90" t="s">
        <v>180</v>
      </c>
      <c r="E4" s="89">
        <v>29</v>
      </c>
      <c r="F4" s="91">
        <v>189900</v>
      </c>
      <c r="G4" s="90" t="s">
        <v>181</v>
      </c>
      <c r="H4" s="92">
        <v>860.69</v>
      </c>
      <c r="I4" s="93">
        <v>100000</v>
      </c>
      <c r="J4" s="89">
        <v>150</v>
      </c>
      <c r="K4" s="89" t="s">
        <v>118</v>
      </c>
      <c r="L4" s="78"/>
      <c r="M4" s="78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ht="63" x14ac:dyDescent="0.2">
      <c r="A5" s="88" t="s">
        <v>182</v>
      </c>
      <c r="B5" s="89" t="s">
        <v>183</v>
      </c>
      <c r="C5" s="89" t="s">
        <v>119</v>
      </c>
      <c r="D5" s="89" t="s">
        <v>184</v>
      </c>
      <c r="E5" s="89">
        <v>29</v>
      </c>
      <c r="F5" s="91">
        <v>271500</v>
      </c>
      <c r="G5" s="90" t="s">
        <v>185</v>
      </c>
      <c r="H5" s="92">
        <v>860.69</v>
      </c>
      <c r="I5" s="93">
        <v>100000</v>
      </c>
      <c r="J5" s="89">
        <v>150</v>
      </c>
      <c r="K5" s="89" t="s">
        <v>118</v>
      </c>
      <c r="L5" s="78"/>
      <c r="M5" s="78"/>
    </row>
    <row r="6" spans="1:28" ht="63" x14ac:dyDescent="0.2">
      <c r="A6" s="88" t="s">
        <v>186</v>
      </c>
      <c r="B6" s="94" t="s">
        <v>187</v>
      </c>
      <c r="C6" s="89" t="s">
        <v>121</v>
      </c>
      <c r="D6" s="89" t="s">
        <v>188</v>
      </c>
      <c r="E6" s="89">
        <v>44</v>
      </c>
      <c r="F6" s="91">
        <v>226550</v>
      </c>
      <c r="G6" s="90" t="s">
        <v>189</v>
      </c>
      <c r="H6" s="92">
        <v>860.69</v>
      </c>
      <c r="I6" s="93">
        <v>100000</v>
      </c>
      <c r="J6" s="89">
        <v>150</v>
      </c>
      <c r="K6" s="89" t="s">
        <v>190</v>
      </c>
      <c r="L6" s="78"/>
      <c r="M6" s="78"/>
    </row>
    <row r="7" spans="1:28" ht="63" x14ac:dyDescent="0.2">
      <c r="A7" s="88" t="s">
        <v>191</v>
      </c>
      <c r="B7" s="89" t="s">
        <v>179</v>
      </c>
      <c r="C7" s="89" t="s">
        <v>117</v>
      </c>
      <c r="D7" s="90" t="s">
        <v>192</v>
      </c>
      <c r="E7" s="89">
        <v>59</v>
      </c>
      <c r="F7" s="91">
        <v>288912</v>
      </c>
      <c r="G7" s="90" t="s">
        <v>120</v>
      </c>
      <c r="H7" s="91">
        <v>1533.77</v>
      </c>
      <c r="I7" s="93">
        <v>100000</v>
      </c>
      <c r="J7" s="89">
        <v>275</v>
      </c>
      <c r="K7" s="89" t="s">
        <v>190</v>
      </c>
      <c r="L7" s="78"/>
      <c r="M7" s="78"/>
    </row>
    <row r="9" spans="1:28" ht="15.75" x14ac:dyDescent="0.2">
      <c r="A9" s="228" t="s">
        <v>122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76"/>
      <c r="M9" s="76"/>
      <c r="N9" s="25"/>
    </row>
    <row r="10" spans="1:28" ht="15.75" x14ac:dyDescent="0.2">
      <c r="A10" s="229" t="s">
        <v>123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83"/>
      <c r="M10" s="83"/>
      <c r="N10" s="26"/>
    </row>
    <row r="11" spans="1:28" ht="29.25" customHeight="1" x14ac:dyDescent="0.2">
      <c r="A11" s="230" t="s">
        <v>193</v>
      </c>
      <c r="B11" s="230"/>
      <c r="C11" s="230"/>
      <c r="D11" s="230"/>
      <c r="E11" s="230"/>
      <c r="F11" s="230"/>
      <c r="G11" s="230"/>
      <c r="H11" s="230"/>
      <c r="I11" s="230"/>
      <c r="J11" s="230"/>
      <c r="K11" s="230"/>
      <c r="L11" s="84"/>
      <c r="M11" s="84"/>
    </row>
    <row r="12" spans="1:28" ht="15.75" x14ac:dyDescent="0.25">
      <c r="A12" s="95" t="s">
        <v>194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</row>
    <row r="13" spans="1:28" ht="15.75" x14ac:dyDescent="0.25">
      <c r="A13" s="97" t="s">
        <v>195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</row>
    <row r="14" spans="1:28" ht="30" customHeight="1" x14ac:dyDescent="0.25">
      <c r="A14" s="231" t="s">
        <v>196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85"/>
      <c r="M14" s="85"/>
    </row>
  </sheetData>
  <mergeCells count="4">
    <mergeCell ref="A9:K9"/>
    <mergeCell ref="A10:K10"/>
    <mergeCell ref="A11:K11"/>
    <mergeCell ref="A14:K14"/>
  </mergeCells>
  <pageMargins left="0.511811024" right="0.511811024" top="0.78740157499999996" bottom="0.78740157499999996" header="0.31496062000000002" footer="0.31496062000000002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6"/>
  <sheetViews>
    <sheetView tabSelected="1" view="pageBreakPreview" topLeftCell="A16" zoomScaleNormal="55" zoomScaleSheetLayoutView="100" workbookViewId="0">
      <selection activeCell="A4" sqref="A4:E4"/>
    </sheetView>
  </sheetViews>
  <sheetFormatPr defaultRowHeight="15" x14ac:dyDescent="0.25"/>
  <cols>
    <col min="1" max="1" width="5.5703125" customWidth="1"/>
    <col min="2" max="2" width="45.28515625" customWidth="1"/>
    <col min="3" max="3" width="18.5703125" customWidth="1"/>
    <col min="4" max="4" width="14.140625" customWidth="1"/>
    <col min="5" max="5" width="20.42578125" customWidth="1"/>
  </cols>
  <sheetData>
    <row r="1" spans="1:5" ht="21.75" thickBot="1" x14ac:dyDescent="0.3">
      <c r="A1" s="282" t="s">
        <v>304</v>
      </c>
      <c r="B1" s="283"/>
      <c r="C1" s="283"/>
      <c r="D1" s="283"/>
      <c r="E1" s="284"/>
    </row>
    <row r="2" spans="1:5" ht="34.5" customHeight="1" x14ac:dyDescent="0.25">
      <c r="A2" s="133" t="s">
        <v>217</v>
      </c>
      <c r="B2" s="135" t="s">
        <v>303</v>
      </c>
      <c r="C2" s="285" t="s">
        <v>307</v>
      </c>
      <c r="D2" s="286"/>
      <c r="E2" s="287"/>
    </row>
    <row r="3" spans="1:5" x14ac:dyDescent="0.25">
      <c r="A3" s="133" t="s">
        <v>215</v>
      </c>
      <c r="B3" s="135" t="s">
        <v>302</v>
      </c>
      <c r="C3" s="288" t="str">
        <f>C10</f>
        <v>Prestação de Serviços de Transporte Escolar</v>
      </c>
      <c r="D3" s="289"/>
      <c r="E3" s="290"/>
    </row>
    <row r="4" spans="1:5" ht="25.5" x14ac:dyDescent="0.25">
      <c r="A4" s="320" t="s">
        <v>213</v>
      </c>
      <c r="B4" s="325" t="s">
        <v>301</v>
      </c>
      <c r="C4" s="326" t="s">
        <v>311</v>
      </c>
      <c r="D4" s="327"/>
      <c r="E4" s="328"/>
    </row>
    <row r="5" spans="1:5" x14ac:dyDescent="0.25">
      <c r="A5" s="133" t="s">
        <v>211</v>
      </c>
      <c r="B5" s="135" t="s">
        <v>300</v>
      </c>
      <c r="C5" s="288">
        <v>12</v>
      </c>
      <c r="D5" s="289"/>
      <c r="E5" s="290"/>
    </row>
    <row r="6" spans="1:5" x14ac:dyDescent="0.25">
      <c r="A6" s="291" t="s">
        <v>299</v>
      </c>
      <c r="B6" s="292"/>
      <c r="C6" s="292"/>
      <c r="D6" s="292"/>
      <c r="E6" s="293"/>
    </row>
    <row r="7" spans="1:5" x14ac:dyDescent="0.25">
      <c r="A7" s="270" t="s">
        <v>298</v>
      </c>
      <c r="B7" s="271"/>
      <c r="C7" s="271"/>
      <c r="D7" s="271"/>
      <c r="E7" s="272"/>
    </row>
    <row r="8" spans="1:5" x14ac:dyDescent="0.25">
      <c r="A8" s="273" t="s">
        <v>297</v>
      </c>
      <c r="B8" s="274"/>
      <c r="C8" s="274"/>
      <c r="D8" s="274"/>
      <c r="E8" s="275"/>
    </row>
    <row r="9" spans="1:5" x14ac:dyDescent="0.25">
      <c r="A9" s="244" t="s">
        <v>296</v>
      </c>
      <c r="B9" s="247"/>
      <c r="C9" s="247"/>
      <c r="D9" s="245"/>
      <c r="E9" s="115" t="s">
        <v>218</v>
      </c>
    </row>
    <row r="10" spans="1:5" ht="27.75" customHeight="1" x14ac:dyDescent="0.25">
      <c r="A10" s="133">
        <v>1</v>
      </c>
      <c r="B10" s="134" t="s">
        <v>295</v>
      </c>
      <c r="C10" s="276" t="s">
        <v>294</v>
      </c>
      <c r="D10" s="277"/>
      <c r="E10" s="278"/>
    </row>
    <row r="11" spans="1:5" x14ac:dyDescent="0.25">
      <c r="A11" s="320">
        <v>2</v>
      </c>
      <c r="B11" s="321" t="s">
        <v>293</v>
      </c>
      <c r="C11" s="322"/>
      <c r="D11" s="323"/>
      <c r="E11" s="324">
        <v>2100.92</v>
      </c>
    </row>
    <row r="12" spans="1:5" ht="25.5" x14ac:dyDescent="0.25">
      <c r="A12" s="133">
        <v>3</v>
      </c>
      <c r="B12" s="134" t="s">
        <v>292</v>
      </c>
      <c r="C12" s="276" t="s">
        <v>314</v>
      </c>
      <c r="D12" s="277"/>
      <c r="E12" s="278"/>
    </row>
    <row r="13" spans="1:5" x14ac:dyDescent="0.25">
      <c r="A13" s="133">
        <v>4</v>
      </c>
      <c r="B13" s="132" t="s">
        <v>291</v>
      </c>
      <c r="C13" s="279">
        <v>45292</v>
      </c>
      <c r="D13" s="280"/>
      <c r="E13" s="281"/>
    </row>
    <row r="14" spans="1:5" x14ac:dyDescent="0.25">
      <c r="A14" s="248" t="s">
        <v>290</v>
      </c>
      <c r="B14" s="249"/>
      <c r="C14" s="249"/>
      <c r="D14" s="249"/>
      <c r="E14" s="250"/>
    </row>
    <row r="15" spans="1:5" x14ac:dyDescent="0.25">
      <c r="A15" s="114">
        <v>1</v>
      </c>
      <c r="B15" s="232" t="s">
        <v>289</v>
      </c>
      <c r="C15" s="251"/>
      <c r="D15" s="252"/>
      <c r="E15" s="115" t="s">
        <v>218</v>
      </c>
    </row>
    <row r="16" spans="1:5" x14ac:dyDescent="0.25">
      <c r="A16" s="131" t="s">
        <v>217</v>
      </c>
      <c r="B16" s="130" t="s">
        <v>288</v>
      </c>
      <c r="C16" s="266"/>
      <c r="D16" s="267"/>
      <c r="E16" s="129">
        <f>E11</f>
        <v>2100.92</v>
      </c>
    </row>
    <row r="17" spans="1:5" ht="15" customHeight="1" x14ac:dyDescent="0.25">
      <c r="A17" s="131" t="s">
        <v>215</v>
      </c>
      <c r="B17" s="130" t="s">
        <v>287</v>
      </c>
      <c r="C17" s="268" t="s">
        <v>286</v>
      </c>
      <c r="D17" s="269"/>
      <c r="E17" s="128">
        <v>0</v>
      </c>
    </row>
    <row r="18" spans="1:5" ht="15" customHeight="1" x14ac:dyDescent="0.25">
      <c r="A18" s="312" t="s">
        <v>213</v>
      </c>
      <c r="B18" s="313" t="s">
        <v>285</v>
      </c>
      <c r="C18" s="314">
        <v>0.2</v>
      </c>
      <c r="D18" s="315" t="s">
        <v>315</v>
      </c>
      <c r="E18" s="316">
        <f>1412*C18</f>
        <v>282.40000000000003</v>
      </c>
    </row>
    <row r="19" spans="1:5" ht="15" customHeight="1" x14ac:dyDescent="0.25">
      <c r="A19" s="312" t="s">
        <v>211</v>
      </c>
      <c r="B19" s="317" t="s">
        <v>284</v>
      </c>
      <c r="C19" s="318" t="s">
        <v>283</v>
      </c>
      <c r="D19" s="319"/>
      <c r="E19" s="316">
        <f>(((E16/180)*0.2))*0</f>
        <v>0</v>
      </c>
    </row>
    <row r="20" spans="1:5" ht="24" customHeight="1" x14ac:dyDescent="0.25">
      <c r="A20" s="312" t="s">
        <v>209</v>
      </c>
      <c r="B20" s="317" t="s">
        <v>316</v>
      </c>
      <c r="C20" s="318" t="s">
        <v>312</v>
      </c>
      <c r="D20" s="319"/>
      <c r="E20" s="316">
        <v>320</v>
      </c>
    </row>
    <row r="21" spans="1:5" x14ac:dyDescent="0.25">
      <c r="A21" s="241" t="s">
        <v>282</v>
      </c>
      <c r="B21" s="242"/>
      <c r="C21" s="242"/>
      <c r="D21" s="243"/>
      <c r="E21" s="116">
        <f>SUM(E16:E19)</f>
        <v>2383.3200000000002</v>
      </c>
    </row>
    <row r="22" spans="1:5" x14ac:dyDescent="0.25">
      <c r="A22" s="248" t="s">
        <v>281</v>
      </c>
      <c r="B22" s="249"/>
      <c r="C22" s="249"/>
      <c r="D22" s="249"/>
      <c r="E22" s="250"/>
    </row>
    <row r="23" spans="1:5" x14ac:dyDescent="0.25">
      <c r="A23" s="114" t="s">
        <v>261</v>
      </c>
      <c r="B23" s="232" t="s">
        <v>280</v>
      </c>
      <c r="C23" s="251"/>
      <c r="D23" s="252"/>
      <c r="E23" s="115" t="s">
        <v>218</v>
      </c>
    </row>
    <row r="24" spans="1:5" x14ac:dyDescent="0.25">
      <c r="A24" s="120" t="s">
        <v>217</v>
      </c>
      <c r="B24" s="232" t="s">
        <v>279</v>
      </c>
      <c r="C24" s="234"/>
      <c r="D24" s="122">
        <v>8.3299999999999999E-2</v>
      </c>
      <c r="E24" s="113">
        <f>ROUND(+$E$21*D24,2)</f>
        <v>198.53</v>
      </c>
    </row>
    <row r="25" spans="1:5" x14ac:dyDescent="0.25">
      <c r="A25" s="120" t="s">
        <v>215</v>
      </c>
      <c r="B25" s="232" t="s">
        <v>278</v>
      </c>
      <c r="C25" s="234"/>
      <c r="D25" s="122">
        <v>0.121</v>
      </c>
      <c r="E25" s="113">
        <f>ROUND(+$E$21*D25,2)</f>
        <v>288.38</v>
      </c>
    </row>
    <row r="26" spans="1:5" x14ac:dyDescent="0.25">
      <c r="A26" s="241" t="s">
        <v>220</v>
      </c>
      <c r="B26" s="242"/>
      <c r="C26" s="262"/>
      <c r="D26" s="123">
        <f>SUM(D24:D25)</f>
        <v>0.20429999999999998</v>
      </c>
      <c r="E26" s="116">
        <f>SUM(E24:E25)</f>
        <v>486.90999999999997</v>
      </c>
    </row>
    <row r="27" spans="1:5" ht="26.25" customHeight="1" x14ac:dyDescent="0.25">
      <c r="A27" s="263" t="s">
        <v>277</v>
      </c>
      <c r="B27" s="264"/>
      <c r="C27" s="264"/>
      <c r="D27" s="264"/>
      <c r="E27" s="265"/>
    </row>
    <row r="28" spans="1:5" x14ac:dyDescent="0.25">
      <c r="A28" s="114" t="s">
        <v>259</v>
      </c>
      <c r="B28" s="232" t="s">
        <v>276</v>
      </c>
      <c r="C28" s="251"/>
      <c r="D28" s="252"/>
      <c r="E28" s="115" t="s">
        <v>218</v>
      </c>
    </row>
    <row r="29" spans="1:5" x14ac:dyDescent="0.25">
      <c r="A29" s="120" t="s">
        <v>217</v>
      </c>
      <c r="B29" s="258" t="s">
        <v>275</v>
      </c>
      <c r="C29" s="259"/>
      <c r="D29" s="122">
        <v>0.2</v>
      </c>
      <c r="E29" s="113">
        <f>(E21+E26)*D29</f>
        <v>574.04600000000005</v>
      </c>
    </row>
    <row r="30" spans="1:5" x14ac:dyDescent="0.25">
      <c r="A30" s="120" t="s">
        <v>215</v>
      </c>
      <c r="B30" s="258" t="s">
        <v>274</v>
      </c>
      <c r="C30" s="259"/>
      <c r="D30" s="122">
        <v>1.4999999999999999E-2</v>
      </c>
      <c r="E30" s="113">
        <f>(E21+E26)*D30</f>
        <v>43.053449999999998</v>
      </c>
    </row>
    <row r="31" spans="1:5" x14ac:dyDescent="0.25">
      <c r="A31" s="120" t="s">
        <v>213</v>
      </c>
      <c r="B31" s="258" t="s">
        <v>273</v>
      </c>
      <c r="C31" s="259"/>
      <c r="D31" s="122">
        <v>0.01</v>
      </c>
      <c r="E31" s="113">
        <f>(E21+E26)*D31</f>
        <v>28.702300000000001</v>
      </c>
    </row>
    <row r="32" spans="1:5" x14ac:dyDescent="0.25">
      <c r="A32" s="120" t="s">
        <v>211</v>
      </c>
      <c r="B32" s="258" t="s">
        <v>272</v>
      </c>
      <c r="C32" s="259"/>
      <c r="D32" s="122">
        <v>2E-3</v>
      </c>
      <c r="E32" s="113">
        <f>(E21+E26)*D32</f>
        <v>5.7404600000000006</v>
      </c>
    </row>
    <row r="33" spans="1:5" x14ac:dyDescent="0.25">
      <c r="A33" s="120" t="s">
        <v>209</v>
      </c>
      <c r="B33" s="258" t="s">
        <v>271</v>
      </c>
      <c r="C33" s="259"/>
      <c r="D33" s="122">
        <v>2.5000000000000001E-2</v>
      </c>
      <c r="E33" s="113">
        <f>(E21+E26)*D33</f>
        <v>71.755750000000006</v>
      </c>
    </row>
    <row r="34" spans="1:5" x14ac:dyDescent="0.25">
      <c r="A34" s="120" t="s">
        <v>241</v>
      </c>
      <c r="B34" s="258" t="s">
        <v>270</v>
      </c>
      <c r="C34" s="259"/>
      <c r="D34" s="122">
        <v>0.08</v>
      </c>
      <c r="E34" s="113">
        <f>(E21+E26)*D34</f>
        <v>229.61840000000001</v>
      </c>
    </row>
    <row r="35" spans="1:5" x14ac:dyDescent="0.25">
      <c r="A35" s="294" t="s">
        <v>269</v>
      </c>
      <c r="B35" s="310" t="s">
        <v>268</v>
      </c>
      <c r="C35" s="311"/>
      <c r="D35" s="136">
        <v>0.06</v>
      </c>
      <c r="E35" s="297">
        <f>(E21+E26)*D35</f>
        <v>172.21379999999999</v>
      </c>
    </row>
    <row r="36" spans="1:5" x14ac:dyDescent="0.25">
      <c r="A36" s="120" t="s">
        <v>267</v>
      </c>
      <c r="B36" s="260" t="s">
        <v>266</v>
      </c>
      <c r="C36" s="261"/>
      <c r="D36" s="122">
        <v>6.0000000000000001E-3</v>
      </c>
      <c r="E36" s="113">
        <f>(E21+E26)*D36</f>
        <v>17.22138</v>
      </c>
    </row>
    <row r="37" spans="1:5" x14ac:dyDescent="0.25">
      <c r="A37" s="241" t="s">
        <v>220</v>
      </c>
      <c r="B37" s="242"/>
      <c r="C37" s="262"/>
      <c r="D37" s="123">
        <f>SUM(D29:D36)</f>
        <v>0.39800000000000008</v>
      </c>
      <c r="E37" s="116">
        <f>SUM(E29:E36)</f>
        <v>1142.3515400000001</v>
      </c>
    </row>
    <row r="38" spans="1:5" x14ac:dyDescent="0.25">
      <c r="A38" s="114" t="s">
        <v>257</v>
      </c>
      <c r="B38" s="232" t="s">
        <v>265</v>
      </c>
      <c r="C38" s="251"/>
      <c r="D38" s="252"/>
      <c r="E38" s="115" t="s">
        <v>218</v>
      </c>
    </row>
    <row r="39" spans="1:5" x14ac:dyDescent="0.25">
      <c r="A39" s="294" t="s">
        <v>217</v>
      </c>
      <c r="B39" s="295" t="s">
        <v>317</v>
      </c>
      <c r="C39" s="298"/>
      <c r="D39" s="296"/>
      <c r="E39" s="299">
        <f>(12*23)-(E16*6%)</f>
        <v>149.94479999999999</v>
      </c>
    </row>
    <row r="40" spans="1:5" x14ac:dyDescent="0.25">
      <c r="A40" s="294" t="s">
        <v>215</v>
      </c>
      <c r="B40" s="295" t="s">
        <v>308</v>
      </c>
      <c r="C40" s="298"/>
      <c r="D40" s="296"/>
      <c r="E40" s="300">
        <v>0</v>
      </c>
    </row>
    <row r="41" spans="1:5" x14ac:dyDescent="0.25">
      <c r="A41" s="294" t="s">
        <v>213</v>
      </c>
      <c r="B41" s="301" t="s">
        <v>318</v>
      </c>
      <c r="C41" s="302"/>
      <c r="D41" s="303"/>
      <c r="E41" s="300">
        <v>226.16</v>
      </c>
    </row>
    <row r="42" spans="1:5" ht="25.5" customHeight="1" x14ac:dyDescent="0.25">
      <c r="A42" s="294" t="s">
        <v>313</v>
      </c>
      <c r="B42" s="304" t="s">
        <v>319</v>
      </c>
      <c r="C42" s="305"/>
      <c r="D42" s="306"/>
      <c r="E42" s="300">
        <v>-2</v>
      </c>
    </row>
    <row r="43" spans="1:5" x14ac:dyDescent="0.25">
      <c r="A43" s="294" t="s">
        <v>211</v>
      </c>
      <c r="B43" s="301" t="s">
        <v>320</v>
      </c>
      <c r="C43" s="302"/>
      <c r="D43" s="303"/>
      <c r="E43" s="300">
        <v>0</v>
      </c>
    </row>
    <row r="44" spans="1:5" x14ac:dyDescent="0.25">
      <c r="A44" s="294" t="s">
        <v>209</v>
      </c>
      <c r="B44" s="295" t="s">
        <v>309</v>
      </c>
      <c r="C44" s="298"/>
      <c r="D44" s="296"/>
      <c r="E44" s="300">
        <v>0</v>
      </c>
    </row>
    <row r="45" spans="1:5" ht="25.5" customHeight="1" x14ac:dyDescent="0.25">
      <c r="A45" s="294" t="s">
        <v>241</v>
      </c>
      <c r="B45" s="307" t="s">
        <v>321</v>
      </c>
      <c r="C45" s="308"/>
      <c r="D45" s="309"/>
      <c r="E45" s="300">
        <f>-E11*2%</f>
        <v>-42.0184</v>
      </c>
    </row>
    <row r="46" spans="1:5" x14ac:dyDescent="0.25">
      <c r="A46" s="294" t="s">
        <v>269</v>
      </c>
      <c r="B46" s="295" t="s">
        <v>264</v>
      </c>
      <c r="C46" s="298"/>
      <c r="D46" s="296"/>
      <c r="E46" s="297">
        <v>18.53</v>
      </c>
    </row>
    <row r="47" spans="1:5" x14ac:dyDescent="0.25">
      <c r="A47" s="241" t="s">
        <v>263</v>
      </c>
      <c r="B47" s="242"/>
      <c r="C47" s="242"/>
      <c r="D47" s="243"/>
      <c r="E47" s="116">
        <f>SUM(E39:E46)</f>
        <v>350.6164</v>
      </c>
    </row>
    <row r="48" spans="1:5" x14ac:dyDescent="0.25">
      <c r="A48" s="248" t="s">
        <v>262</v>
      </c>
      <c r="B48" s="249"/>
      <c r="C48" s="249"/>
      <c r="D48" s="253"/>
      <c r="E48" s="115" t="s">
        <v>218</v>
      </c>
    </row>
    <row r="49" spans="1:8" x14ac:dyDescent="0.25">
      <c r="A49" s="114" t="s">
        <v>261</v>
      </c>
      <c r="B49" s="232" t="s">
        <v>260</v>
      </c>
      <c r="C49" s="251"/>
      <c r="D49" s="252"/>
      <c r="E49" s="127">
        <f>E26</f>
        <v>486.90999999999997</v>
      </c>
    </row>
    <row r="50" spans="1:8" x14ac:dyDescent="0.25">
      <c r="A50" s="114" t="s">
        <v>259</v>
      </c>
      <c r="B50" s="232" t="s">
        <v>258</v>
      </c>
      <c r="C50" s="233"/>
      <c r="D50" s="234"/>
      <c r="E50" s="113">
        <f>E37</f>
        <v>1142.3515400000001</v>
      </c>
    </row>
    <row r="51" spans="1:8" x14ac:dyDescent="0.25">
      <c r="A51" s="114" t="s">
        <v>257</v>
      </c>
      <c r="B51" s="232" t="s">
        <v>256</v>
      </c>
      <c r="C51" s="233"/>
      <c r="D51" s="234"/>
      <c r="E51" s="113">
        <f>E47</f>
        <v>350.6164</v>
      </c>
    </row>
    <row r="52" spans="1:8" ht="15" customHeight="1" x14ac:dyDescent="0.25">
      <c r="A52" s="241" t="s">
        <v>220</v>
      </c>
      <c r="B52" s="242"/>
      <c r="C52" s="242"/>
      <c r="D52" s="243"/>
      <c r="E52" s="116">
        <f>SUM(E49:E51)</f>
        <v>1979.8779399999999</v>
      </c>
    </row>
    <row r="53" spans="1:8" x14ac:dyDescent="0.25">
      <c r="A53" s="248" t="s">
        <v>255</v>
      </c>
      <c r="B53" s="249"/>
      <c r="C53" s="249"/>
      <c r="D53" s="253"/>
      <c r="E53" s="113"/>
    </row>
    <row r="54" spans="1:8" x14ac:dyDescent="0.25">
      <c r="A54" s="114" t="s">
        <v>254</v>
      </c>
      <c r="B54" s="232" t="s">
        <v>253</v>
      </c>
      <c r="C54" s="251"/>
      <c r="D54" s="252"/>
      <c r="E54" s="115" t="s">
        <v>218</v>
      </c>
    </row>
    <row r="55" spans="1:8" x14ac:dyDescent="0.25">
      <c r="A55" s="120" t="s">
        <v>217</v>
      </c>
      <c r="B55" s="238" t="s">
        <v>252</v>
      </c>
      <c r="C55" s="240"/>
      <c r="D55" s="122">
        <v>4.5999999999999999E-3</v>
      </c>
      <c r="E55" s="113">
        <f>ROUND(+D55*$E$21,2)</f>
        <v>10.96</v>
      </c>
    </row>
    <row r="56" spans="1:8" x14ac:dyDescent="0.25">
      <c r="A56" s="120" t="s">
        <v>215</v>
      </c>
      <c r="B56" s="238" t="s">
        <v>251</v>
      </c>
      <c r="C56" s="240"/>
      <c r="D56" s="122">
        <f>D34*D55</f>
        <v>3.68E-4</v>
      </c>
      <c r="E56" s="113">
        <f>ROUND(+D56*$E$21,2)</f>
        <v>0.88</v>
      </c>
    </row>
    <row r="57" spans="1:8" x14ac:dyDescent="0.25">
      <c r="A57" s="120" t="s">
        <v>213</v>
      </c>
      <c r="B57" s="258" t="s">
        <v>250</v>
      </c>
      <c r="C57" s="259"/>
      <c r="D57" s="122">
        <v>1.9400000000000001E-2</v>
      </c>
      <c r="E57" s="113">
        <f>ROUND(+D57*$E$21,2)</f>
        <v>46.24</v>
      </c>
    </row>
    <row r="58" spans="1:8" ht="25.5" customHeight="1" x14ac:dyDescent="0.25">
      <c r="A58" s="120" t="s">
        <v>211</v>
      </c>
      <c r="B58" s="238" t="s">
        <v>249</v>
      </c>
      <c r="C58" s="240"/>
      <c r="D58" s="122">
        <f>D37*D57</f>
        <v>7.7212000000000018E-3</v>
      </c>
      <c r="E58" s="113">
        <f>ROUND(+D58*$E$21,2)</f>
        <v>18.399999999999999</v>
      </c>
    </row>
    <row r="59" spans="1:8" ht="36.75" customHeight="1" x14ac:dyDescent="0.25">
      <c r="A59" s="120" t="s">
        <v>209</v>
      </c>
      <c r="B59" s="238" t="s">
        <v>248</v>
      </c>
      <c r="C59" s="240"/>
      <c r="D59" s="122">
        <f>4%</f>
        <v>0.04</v>
      </c>
      <c r="E59" s="113">
        <f>ROUND(+D59*$E$21,2)</f>
        <v>95.33</v>
      </c>
      <c r="H59" s="126"/>
    </row>
    <row r="60" spans="1:8" x14ac:dyDescent="0.25">
      <c r="A60" s="241" t="s">
        <v>220</v>
      </c>
      <c r="B60" s="242"/>
      <c r="C60" s="242"/>
      <c r="D60" s="121">
        <f>SUM(D55:D59)</f>
        <v>7.2089200000000006E-2</v>
      </c>
      <c r="E60" s="116">
        <f>SUM(E55:E59)</f>
        <v>171.81</v>
      </c>
    </row>
    <row r="61" spans="1:8" x14ac:dyDescent="0.25">
      <c r="A61" s="248" t="s">
        <v>247</v>
      </c>
      <c r="B61" s="249"/>
      <c r="C61" s="249"/>
      <c r="D61" s="249"/>
      <c r="E61" s="250"/>
    </row>
    <row r="62" spans="1:8" x14ac:dyDescent="0.25">
      <c r="A62" s="114" t="s">
        <v>234</v>
      </c>
      <c r="B62" s="257" t="s">
        <v>233</v>
      </c>
      <c r="C62" s="249"/>
      <c r="D62" s="253"/>
      <c r="E62" s="115" t="s">
        <v>218</v>
      </c>
    </row>
    <row r="63" spans="1:8" ht="15.75" x14ac:dyDescent="0.25">
      <c r="A63" s="120" t="s">
        <v>217</v>
      </c>
      <c r="B63" s="238" t="s">
        <v>246</v>
      </c>
      <c r="C63" s="240"/>
      <c r="D63" s="136">
        <f>D25/12</f>
        <v>1.0083333333333333E-2</v>
      </c>
      <c r="E63" s="113">
        <f t="shared" ref="E63:E68" si="0">($E$21+$E$52+$E$60+$E$81)*D63</f>
        <v>46.484246728333339</v>
      </c>
      <c r="G63" s="125"/>
    </row>
    <row r="64" spans="1:8" ht="15.75" x14ac:dyDescent="0.25">
      <c r="A64" s="120" t="s">
        <v>215</v>
      </c>
      <c r="B64" s="238" t="s">
        <v>245</v>
      </c>
      <c r="C64" s="240"/>
      <c r="D64" s="136">
        <v>1.66E-2</v>
      </c>
      <c r="E64" s="113">
        <f t="shared" si="0"/>
        <v>76.526131804000002</v>
      </c>
      <c r="G64" s="125"/>
    </row>
    <row r="65" spans="1:7" ht="15.75" x14ac:dyDescent="0.25">
      <c r="A65" s="120" t="s">
        <v>213</v>
      </c>
      <c r="B65" s="238" t="s">
        <v>244</v>
      </c>
      <c r="C65" s="240"/>
      <c r="D65" s="136">
        <v>2.0000000000000001E-4</v>
      </c>
      <c r="E65" s="113">
        <f t="shared" si="0"/>
        <v>0.92200158800000009</v>
      </c>
      <c r="G65" s="125"/>
    </row>
    <row r="66" spans="1:7" ht="15.75" x14ac:dyDescent="0.25">
      <c r="A66" s="294" t="s">
        <v>211</v>
      </c>
      <c r="B66" s="295" t="s">
        <v>243</v>
      </c>
      <c r="C66" s="296"/>
      <c r="D66" s="136">
        <f>((15/30)/12)*(8%*100%)</f>
        <v>3.3333333333333331E-3</v>
      </c>
      <c r="E66" s="297">
        <f t="shared" si="0"/>
        <v>15.366693133333333</v>
      </c>
      <c r="G66" s="125"/>
    </row>
    <row r="67" spans="1:7" ht="15.75" x14ac:dyDescent="0.25">
      <c r="A67" s="120" t="s">
        <v>209</v>
      </c>
      <c r="B67" s="238" t="s">
        <v>242</v>
      </c>
      <c r="C67" s="240"/>
      <c r="D67" s="122">
        <v>2.9999999999999997E-4</v>
      </c>
      <c r="E67" s="113">
        <f t="shared" si="0"/>
        <v>1.3830023819999999</v>
      </c>
      <c r="G67" s="125"/>
    </row>
    <row r="68" spans="1:7" ht="15.75" x14ac:dyDescent="0.25">
      <c r="A68" s="120" t="s">
        <v>241</v>
      </c>
      <c r="B68" s="238" t="s">
        <v>240</v>
      </c>
      <c r="C68" s="240"/>
      <c r="D68" s="122">
        <v>0</v>
      </c>
      <c r="E68" s="113">
        <f t="shared" si="0"/>
        <v>0</v>
      </c>
      <c r="G68" s="125"/>
    </row>
    <row r="69" spans="1:7" ht="15.75" x14ac:dyDescent="0.25">
      <c r="A69" s="254" t="s">
        <v>239</v>
      </c>
      <c r="B69" s="255"/>
      <c r="C69" s="256"/>
      <c r="D69" s="121">
        <f>SUM(D63:D68)</f>
        <v>3.0516666666666668E-2</v>
      </c>
      <c r="E69" s="116">
        <f>SUM(E63:E68)</f>
        <v>140.68207563566668</v>
      </c>
      <c r="G69" s="125"/>
    </row>
    <row r="70" spans="1:7" ht="15.75" x14ac:dyDescent="0.25">
      <c r="A70" s="248"/>
      <c r="B70" s="249"/>
      <c r="C70" s="249"/>
      <c r="D70" s="249"/>
      <c r="E70" s="250"/>
      <c r="G70" s="125"/>
    </row>
    <row r="71" spans="1:7" ht="15.75" x14ac:dyDescent="0.25">
      <c r="A71" s="114" t="s">
        <v>238</v>
      </c>
      <c r="B71" s="232" t="s">
        <v>231</v>
      </c>
      <c r="C71" s="251"/>
      <c r="D71" s="252"/>
      <c r="E71" s="115" t="s">
        <v>218</v>
      </c>
      <c r="G71" s="124"/>
    </row>
    <row r="72" spans="1:7" x14ac:dyDescent="0.25">
      <c r="A72" s="120" t="s">
        <v>217</v>
      </c>
      <c r="B72" s="232" t="s">
        <v>237</v>
      </c>
      <c r="C72" s="234"/>
      <c r="D72" s="122">
        <v>0</v>
      </c>
      <c r="E72" s="113">
        <f>ROUND(+$E$22*D72,2)</f>
        <v>0</v>
      </c>
    </row>
    <row r="73" spans="1:7" x14ac:dyDescent="0.25">
      <c r="A73" s="241" t="s">
        <v>220</v>
      </c>
      <c r="B73" s="242"/>
      <c r="C73" s="242"/>
      <c r="D73" s="123">
        <f>D72</f>
        <v>0</v>
      </c>
      <c r="E73" s="116">
        <f>E72</f>
        <v>0</v>
      </c>
    </row>
    <row r="74" spans="1:7" x14ac:dyDescent="0.25">
      <c r="A74" s="248" t="s">
        <v>236</v>
      </c>
      <c r="B74" s="249"/>
      <c r="C74" s="249"/>
      <c r="D74" s="253"/>
      <c r="E74" s="113"/>
    </row>
    <row r="75" spans="1:7" x14ac:dyDescent="0.25">
      <c r="A75" s="114">
        <v>4</v>
      </c>
      <c r="B75" s="232" t="s">
        <v>235</v>
      </c>
      <c r="C75" s="251"/>
      <c r="D75" s="252"/>
      <c r="E75" s="115" t="s">
        <v>218</v>
      </c>
    </row>
    <row r="76" spans="1:7" x14ac:dyDescent="0.25">
      <c r="A76" s="120" t="s">
        <v>234</v>
      </c>
      <c r="B76" s="238" t="s">
        <v>233</v>
      </c>
      <c r="C76" s="240"/>
      <c r="D76" s="122">
        <f>D69</f>
        <v>3.0516666666666668E-2</v>
      </c>
      <c r="E76" s="113">
        <f>E69</f>
        <v>140.68207563566668</v>
      </c>
    </row>
    <row r="77" spans="1:7" x14ac:dyDescent="0.25">
      <c r="A77" s="120" t="s">
        <v>232</v>
      </c>
      <c r="B77" s="238" t="s">
        <v>231</v>
      </c>
      <c r="C77" s="240"/>
      <c r="D77" s="122">
        <f>D73</f>
        <v>0</v>
      </c>
      <c r="E77" s="113">
        <f>E73</f>
        <v>0</v>
      </c>
    </row>
    <row r="78" spans="1:7" x14ac:dyDescent="0.25">
      <c r="A78" s="241" t="s">
        <v>230</v>
      </c>
      <c r="B78" s="242"/>
      <c r="C78" s="243"/>
      <c r="D78" s="121">
        <f>SUM(D73:D77)</f>
        <v>3.0516666666666668E-2</v>
      </c>
      <c r="E78" s="116">
        <f>SUM(E76+E77)</f>
        <v>140.68207563566668</v>
      </c>
    </row>
    <row r="79" spans="1:7" x14ac:dyDescent="0.25">
      <c r="A79" s="248" t="s">
        <v>229</v>
      </c>
      <c r="B79" s="249"/>
      <c r="C79" s="249"/>
      <c r="D79" s="249"/>
      <c r="E79" s="250"/>
    </row>
    <row r="80" spans="1:7" x14ac:dyDescent="0.25">
      <c r="A80" s="114">
        <v>5</v>
      </c>
      <c r="B80" s="232" t="s">
        <v>228</v>
      </c>
      <c r="C80" s="251"/>
      <c r="D80" s="252"/>
      <c r="E80" s="115" t="s">
        <v>218</v>
      </c>
    </row>
    <row r="81" spans="1:5" x14ac:dyDescent="0.25">
      <c r="A81" s="120" t="s">
        <v>217</v>
      </c>
      <c r="B81" s="238" t="s">
        <v>227</v>
      </c>
      <c r="C81" s="239"/>
      <c r="D81" s="240"/>
      <c r="E81" s="137">
        <f>[1]Uniformes!D9</f>
        <v>75</v>
      </c>
    </row>
    <row r="82" spans="1:5" x14ac:dyDescent="0.25">
      <c r="A82" s="120" t="s">
        <v>215</v>
      </c>
      <c r="B82" s="119" t="s">
        <v>226</v>
      </c>
      <c r="C82" s="118"/>
      <c r="D82" s="117"/>
      <c r="E82" s="113">
        <v>0</v>
      </c>
    </row>
    <row r="83" spans="1:5" x14ac:dyDescent="0.25">
      <c r="A83" s="120" t="s">
        <v>213</v>
      </c>
      <c r="B83" s="238" t="s">
        <v>225</v>
      </c>
      <c r="C83" s="239"/>
      <c r="D83" s="240"/>
      <c r="E83" s="113">
        <v>0</v>
      </c>
    </row>
    <row r="84" spans="1:5" x14ac:dyDescent="0.25">
      <c r="A84" s="120" t="s">
        <v>211</v>
      </c>
      <c r="B84" s="238" t="s">
        <v>224</v>
      </c>
      <c r="C84" s="239"/>
      <c r="D84" s="240"/>
      <c r="E84" s="113">
        <v>0</v>
      </c>
    </row>
    <row r="85" spans="1:5" x14ac:dyDescent="0.25">
      <c r="A85" s="120" t="s">
        <v>209</v>
      </c>
      <c r="B85" s="238" t="s">
        <v>223</v>
      </c>
      <c r="C85" s="239"/>
      <c r="D85" s="240"/>
      <c r="E85" s="113">
        <f>0</f>
        <v>0</v>
      </c>
    </row>
    <row r="86" spans="1:5" ht="15" customHeight="1" x14ac:dyDescent="0.25">
      <c r="A86" s="241" t="s">
        <v>222</v>
      </c>
      <c r="B86" s="242"/>
      <c r="C86" s="242"/>
      <c r="D86" s="243"/>
      <c r="E86" s="116">
        <f>SUM(E81:E85)</f>
        <v>75</v>
      </c>
    </row>
    <row r="87" spans="1:5" x14ac:dyDescent="0.25">
      <c r="A87" s="244" t="s">
        <v>221</v>
      </c>
      <c r="B87" s="245"/>
      <c r="C87" s="246" t="s">
        <v>220</v>
      </c>
      <c r="D87" s="245"/>
      <c r="E87" s="113">
        <f>SUM(E21+E52+E60+E78+E86)</f>
        <v>4750.6900156356669</v>
      </c>
    </row>
    <row r="88" spans="1:5" x14ac:dyDescent="0.25">
      <c r="A88" s="244" t="s">
        <v>219</v>
      </c>
      <c r="B88" s="247"/>
      <c r="C88" s="247"/>
      <c r="D88" s="245"/>
      <c r="E88" s="115" t="s">
        <v>218</v>
      </c>
    </row>
    <row r="89" spans="1:5" x14ac:dyDescent="0.25">
      <c r="A89" s="114" t="s">
        <v>217</v>
      </c>
      <c r="B89" s="232" t="s">
        <v>216</v>
      </c>
      <c r="C89" s="233"/>
      <c r="D89" s="234"/>
      <c r="E89" s="113">
        <f>+E21</f>
        <v>2383.3200000000002</v>
      </c>
    </row>
    <row r="90" spans="1:5" x14ac:dyDescent="0.25">
      <c r="A90" s="114" t="s">
        <v>215</v>
      </c>
      <c r="B90" s="232" t="s">
        <v>214</v>
      </c>
      <c r="C90" s="233"/>
      <c r="D90" s="234"/>
      <c r="E90" s="113">
        <f>E52</f>
        <v>1979.8779399999999</v>
      </c>
    </row>
    <row r="91" spans="1:5" x14ac:dyDescent="0.25">
      <c r="A91" s="114" t="s">
        <v>213</v>
      </c>
      <c r="B91" s="232" t="s">
        <v>212</v>
      </c>
      <c r="C91" s="233"/>
      <c r="D91" s="234"/>
      <c r="E91" s="113">
        <f>E60</f>
        <v>171.81</v>
      </c>
    </row>
    <row r="92" spans="1:5" ht="15" customHeight="1" x14ac:dyDescent="0.25">
      <c r="A92" s="114" t="s">
        <v>211</v>
      </c>
      <c r="B92" s="232" t="s">
        <v>210</v>
      </c>
      <c r="C92" s="233"/>
      <c r="D92" s="234"/>
      <c r="E92" s="113">
        <f>E78</f>
        <v>140.68207563566668</v>
      </c>
    </row>
    <row r="93" spans="1:5" x14ac:dyDescent="0.25">
      <c r="A93" s="114" t="s">
        <v>209</v>
      </c>
      <c r="B93" s="232" t="s">
        <v>208</v>
      </c>
      <c r="C93" s="233"/>
      <c r="D93" s="234"/>
      <c r="E93" s="113">
        <f>E86</f>
        <v>75</v>
      </c>
    </row>
    <row r="94" spans="1:5" ht="15.75" thickBot="1" x14ac:dyDescent="0.3">
      <c r="A94" s="235" t="s">
        <v>207</v>
      </c>
      <c r="B94" s="236"/>
      <c r="C94" s="236"/>
      <c r="D94" s="237"/>
      <c r="E94" s="112">
        <f>SUM(E89:E93)</f>
        <v>4750.6900156356669</v>
      </c>
    </row>
    <row r="95" spans="1:5" x14ac:dyDescent="0.25">
      <c r="A95" s="111"/>
      <c r="B95" s="110"/>
      <c r="C95" s="110"/>
      <c r="D95" s="109"/>
      <c r="E95" s="108"/>
    </row>
    <row r="106" ht="15" customHeight="1" x14ac:dyDescent="0.25"/>
  </sheetData>
  <mergeCells count="90">
    <mergeCell ref="A6:E6"/>
    <mergeCell ref="A1:E1"/>
    <mergeCell ref="C2:E2"/>
    <mergeCell ref="C3:E3"/>
    <mergeCell ref="C4:E4"/>
    <mergeCell ref="C5:E5"/>
    <mergeCell ref="C20:D20"/>
    <mergeCell ref="A7:E7"/>
    <mergeCell ref="A8:E8"/>
    <mergeCell ref="A9:D9"/>
    <mergeCell ref="C10:E10"/>
    <mergeCell ref="C12:E12"/>
    <mergeCell ref="C13:E13"/>
    <mergeCell ref="A14:E14"/>
    <mergeCell ref="B15:D15"/>
    <mergeCell ref="C16:D16"/>
    <mergeCell ref="C17:D17"/>
    <mergeCell ref="C19:D19"/>
    <mergeCell ref="B32:C32"/>
    <mergeCell ref="A21:D21"/>
    <mergeCell ref="A22:E22"/>
    <mergeCell ref="B23:D23"/>
    <mergeCell ref="B24:C24"/>
    <mergeCell ref="B25:C25"/>
    <mergeCell ref="A26:C26"/>
    <mergeCell ref="A27:E27"/>
    <mergeCell ref="B28:D28"/>
    <mergeCell ref="B29:C29"/>
    <mergeCell ref="B30:C30"/>
    <mergeCell ref="B31:C31"/>
    <mergeCell ref="B46:D46"/>
    <mergeCell ref="B33:C33"/>
    <mergeCell ref="B34:C34"/>
    <mergeCell ref="B35:C35"/>
    <mergeCell ref="B36:C36"/>
    <mergeCell ref="A37:C37"/>
    <mergeCell ref="B38:D38"/>
    <mergeCell ref="B39:D39"/>
    <mergeCell ref="B40:D40"/>
    <mergeCell ref="B42:D42"/>
    <mergeCell ref="B44:D44"/>
    <mergeCell ref="B45:D45"/>
    <mergeCell ref="B58:C58"/>
    <mergeCell ref="A47:D47"/>
    <mergeCell ref="A48:D48"/>
    <mergeCell ref="B49:D49"/>
    <mergeCell ref="B50:D50"/>
    <mergeCell ref="B51:D51"/>
    <mergeCell ref="A52:D52"/>
    <mergeCell ref="A53:D53"/>
    <mergeCell ref="B54:D54"/>
    <mergeCell ref="B55:C55"/>
    <mergeCell ref="B56:C56"/>
    <mergeCell ref="B57:C57"/>
    <mergeCell ref="A70:E70"/>
    <mergeCell ref="B59:C59"/>
    <mergeCell ref="A60:C60"/>
    <mergeCell ref="A61:E61"/>
    <mergeCell ref="B62:D62"/>
    <mergeCell ref="B63:C63"/>
    <mergeCell ref="B64:C64"/>
    <mergeCell ref="B65:C65"/>
    <mergeCell ref="B66:C66"/>
    <mergeCell ref="B67:C67"/>
    <mergeCell ref="B68:C68"/>
    <mergeCell ref="A69:C69"/>
    <mergeCell ref="B83:D83"/>
    <mergeCell ref="B71:D71"/>
    <mergeCell ref="B72:C72"/>
    <mergeCell ref="A73:C73"/>
    <mergeCell ref="A74:D74"/>
    <mergeCell ref="B75:D75"/>
    <mergeCell ref="B76:C76"/>
    <mergeCell ref="B77:C77"/>
    <mergeCell ref="A78:C78"/>
    <mergeCell ref="A79:E79"/>
    <mergeCell ref="B80:D80"/>
    <mergeCell ref="B81:D81"/>
    <mergeCell ref="A94:D94"/>
    <mergeCell ref="B84:D84"/>
    <mergeCell ref="B85:D85"/>
    <mergeCell ref="A86:D86"/>
    <mergeCell ref="A87:B87"/>
    <mergeCell ref="C87:D87"/>
    <mergeCell ref="A88:D88"/>
    <mergeCell ref="B89:D89"/>
    <mergeCell ref="B90:D90"/>
    <mergeCell ref="B91:D91"/>
    <mergeCell ref="B92:D92"/>
    <mergeCell ref="B93:D93"/>
  </mergeCells>
  <hyperlinks>
    <hyperlink ref="B36" r:id="rId1" display="08 - Sebrae 0,3% ou 0,6% - IN nº 03, MPS/SRP/2005, Anexo II e III ver código da Tabela"/>
  </hyperlinks>
  <pageMargins left="0.511811024" right="0.511811024" top="0.78740157499999996" bottom="0.78740157499999996" header="0.31496062000000002" footer="0.31496062000000002"/>
  <pageSetup scale="91" orientation="portrait" horizontalDpi="4294967295" verticalDpi="4294967295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6"/>
  <sheetViews>
    <sheetView view="pageBreakPreview" zoomScaleNormal="55" zoomScaleSheetLayoutView="100" workbookViewId="0">
      <selection activeCell="A4" sqref="A4:E4"/>
    </sheetView>
  </sheetViews>
  <sheetFormatPr defaultRowHeight="15" x14ac:dyDescent="0.25"/>
  <cols>
    <col min="1" max="1" width="5.5703125" customWidth="1"/>
    <col min="2" max="2" width="45.28515625" customWidth="1"/>
    <col min="3" max="3" width="18.5703125" customWidth="1"/>
    <col min="4" max="4" width="14.140625" customWidth="1"/>
    <col min="5" max="5" width="20.42578125" customWidth="1"/>
  </cols>
  <sheetData>
    <row r="1" spans="1:5" ht="21.75" thickBot="1" x14ac:dyDescent="0.3">
      <c r="A1" s="282" t="s">
        <v>304</v>
      </c>
      <c r="B1" s="283"/>
      <c r="C1" s="283"/>
      <c r="D1" s="283"/>
      <c r="E1" s="284"/>
    </row>
    <row r="2" spans="1:5" ht="34.5" customHeight="1" x14ac:dyDescent="0.25">
      <c r="A2" s="133" t="s">
        <v>217</v>
      </c>
      <c r="B2" s="135" t="s">
        <v>303</v>
      </c>
      <c r="C2" s="285" t="s">
        <v>307</v>
      </c>
      <c r="D2" s="286"/>
      <c r="E2" s="287"/>
    </row>
    <row r="3" spans="1:5" x14ac:dyDescent="0.25">
      <c r="A3" s="133" t="s">
        <v>215</v>
      </c>
      <c r="B3" s="135" t="s">
        <v>302</v>
      </c>
      <c r="C3" s="288" t="str">
        <f>C10</f>
        <v>Prestação de Serviços de Transporte Escolar</v>
      </c>
      <c r="D3" s="289"/>
      <c r="E3" s="290"/>
    </row>
    <row r="4" spans="1:5" ht="25.5" x14ac:dyDescent="0.25">
      <c r="A4" s="320" t="s">
        <v>213</v>
      </c>
      <c r="B4" s="325" t="s">
        <v>301</v>
      </c>
      <c r="C4" s="326" t="s">
        <v>311</v>
      </c>
      <c r="D4" s="327"/>
      <c r="E4" s="328"/>
    </row>
    <row r="5" spans="1:5" x14ac:dyDescent="0.25">
      <c r="A5" s="133" t="s">
        <v>211</v>
      </c>
      <c r="B5" s="135" t="s">
        <v>300</v>
      </c>
      <c r="C5" s="288">
        <v>12</v>
      </c>
      <c r="D5" s="289"/>
      <c r="E5" s="290"/>
    </row>
    <row r="6" spans="1:5" x14ac:dyDescent="0.25">
      <c r="A6" s="291" t="s">
        <v>299</v>
      </c>
      <c r="B6" s="292"/>
      <c r="C6" s="292"/>
      <c r="D6" s="292"/>
      <c r="E6" s="293"/>
    </row>
    <row r="7" spans="1:5" x14ac:dyDescent="0.25">
      <c r="A7" s="270" t="s">
        <v>298</v>
      </c>
      <c r="B7" s="271"/>
      <c r="C7" s="271"/>
      <c r="D7" s="271"/>
      <c r="E7" s="272"/>
    </row>
    <row r="8" spans="1:5" x14ac:dyDescent="0.25">
      <c r="A8" s="273" t="s">
        <v>297</v>
      </c>
      <c r="B8" s="274"/>
      <c r="C8" s="274"/>
      <c r="D8" s="274"/>
      <c r="E8" s="275"/>
    </row>
    <row r="9" spans="1:5" x14ac:dyDescent="0.25">
      <c r="A9" s="244" t="s">
        <v>296</v>
      </c>
      <c r="B9" s="247"/>
      <c r="C9" s="247"/>
      <c r="D9" s="245"/>
      <c r="E9" s="115" t="s">
        <v>218</v>
      </c>
    </row>
    <row r="10" spans="1:5" ht="27.75" customHeight="1" x14ac:dyDescent="0.25">
      <c r="A10" s="133">
        <v>1</v>
      </c>
      <c r="B10" s="134" t="s">
        <v>295</v>
      </c>
      <c r="C10" s="276" t="s">
        <v>294</v>
      </c>
      <c r="D10" s="277"/>
      <c r="E10" s="278"/>
    </row>
    <row r="11" spans="1:5" x14ac:dyDescent="0.25">
      <c r="A11" s="320">
        <v>2</v>
      </c>
      <c r="B11" s="321" t="s">
        <v>293</v>
      </c>
      <c r="C11" s="322"/>
      <c r="D11" s="323"/>
      <c r="E11" s="324">
        <v>1564.97</v>
      </c>
    </row>
    <row r="12" spans="1:5" ht="25.5" x14ac:dyDescent="0.25">
      <c r="A12" s="133">
        <v>3</v>
      </c>
      <c r="B12" s="134" t="s">
        <v>292</v>
      </c>
      <c r="C12" s="276" t="s">
        <v>305</v>
      </c>
      <c r="D12" s="277"/>
      <c r="E12" s="278"/>
    </row>
    <row r="13" spans="1:5" x14ac:dyDescent="0.25">
      <c r="A13" s="133">
        <v>4</v>
      </c>
      <c r="B13" s="132" t="s">
        <v>291</v>
      </c>
      <c r="C13" s="279">
        <v>45292</v>
      </c>
      <c r="D13" s="280"/>
      <c r="E13" s="281"/>
    </row>
    <row r="14" spans="1:5" x14ac:dyDescent="0.25">
      <c r="A14" s="248" t="s">
        <v>290</v>
      </c>
      <c r="B14" s="249"/>
      <c r="C14" s="249"/>
      <c r="D14" s="249"/>
      <c r="E14" s="250"/>
    </row>
    <row r="15" spans="1:5" x14ac:dyDescent="0.25">
      <c r="A15" s="114">
        <v>1</v>
      </c>
      <c r="B15" s="232" t="s">
        <v>289</v>
      </c>
      <c r="C15" s="251"/>
      <c r="D15" s="252"/>
      <c r="E15" s="115" t="s">
        <v>218</v>
      </c>
    </row>
    <row r="16" spans="1:5" x14ac:dyDescent="0.25">
      <c r="A16" s="131" t="s">
        <v>217</v>
      </c>
      <c r="B16" s="130" t="s">
        <v>288</v>
      </c>
      <c r="C16" s="266"/>
      <c r="D16" s="267"/>
      <c r="E16" s="129">
        <f>E11</f>
        <v>1564.97</v>
      </c>
    </row>
    <row r="17" spans="1:5" ht="15" customHeight="1" x14ac:dyDescent="0.25">
      <c r="A17" s="131" t="s">
        <v>215</v>
      </c>
      <c r="B17" s="130" t="s">
        <v>287</v>
      </c>
      <c r="C17" s="268" t="s">
        <v>286</v>
      </c>
      <c r="D17" s="269"/>
      <c r="E17" s="128">
        <v>0</v>
      </c>
    </row>
    <row r="18" spans="1:5" ht="15" customHeight="1" x14ac:dyDescent="0.25">
      <c r="A18" s="312" t="s">
        <v>213</v>
      </c>
      <c r="B18" s="313" t="s">
        <v>285</v>
      </c>
      <c r="C18" s="314">
        <v>0.2</v>
      </c>
      <c r="D18" s="315" t="s">
        <v>315</v>
      </c>
      <c r="E18" s="316">
        <f>1412*C18</f>
        <v>282.40000000000003</v>
      </c>
    </row>
    <row r="19" spans="1:5" ht="15" customHeight="1" x14ac:dyDescent="0.25">
      <c r="A19" s="312" t="s">
        <v>211</v>
      </c>
      <c r="B19" s="317" t="s">
        <v>284</v>
      </c>
      <c r="C19" s="318" t="s">
        <v>283</v>
      </c>
      <c r="D19" s="319"/>
      <c r="E19" s="316">
        <f>(((E16/180)*0.2))*0</f>
        <v>0</v>
      </c>
    </row>
    <row r="20" spans="1:5" ht="24" customHeight="1" x14ac:dyDescent="0.25">
      <c r="A20" s="312" t="s">
        <v>209</v>
      </c>
      <c r="B20" s="317" t="s">
        <v>316</v>
      </c>
      <c r="C20" s="318" t="s">
        <v>312</v>
      </c>
      <c r="D20" s="319"/>
      <c r="E20" s="316">
        <v>150</v>
      </c>
    </row>
    <row r="21" spans="1:5" x14ac:dyDescent="0.25">
      <c r="A21" s="241" t="s">
        <v>282</v>
      </c>
      <c r="B21" s="242"/>
      <c r="C21" s="242"/>
      <c r="D21" s="243"/>
      <c r="E21" s="116">
        <f>SUM(E16:E19)</f>
        <v>1847.3700000000001</v>
      </c>
    </row>
    <row r="22" spans="1:5" x14ac:dyDescent="0.25">
      <c r="A22" s="248" t="s">
        <v>281</v>
      </c>
      <c r="B22" s="249"/>
      <c r="C22" s="249"/>
      <c r="D22" s="249"/>
      <c r="E22" s="250"/>
    </row>
    <row r="23" spans="1:5" x14ac:dyDescent="0.25">
      <c r="A23" s="114" t="s">
        <v>261</v>
      </c>
      <c r="B23" s="232" t="s">
        <v>280</v>
      </c>
      <c r="C23" s="251"/>
      <c r="D23" s="252"/>
      <c r="E23" s="115" t="s">
        <v>218</v>
      </c>
    </row>
    <row r="24" spans="1:5" x14ac:dyDescent="0.25">
      <c r="A24" s="120" t="s">
        <v>217</v>
      </c>
      <c r="B24" s="232" t="s">
        <v>279</v>
      </c>
      <c r="C24" s="234"/>
      <c r="D24" s="122">
        <v>8.3299999999999999E-2</v>
      </c>
      <c r="E24" s="113">
        <f>ROUND(+$E$21*D24,2)</f>
        <v>153.88999999999999</v>
      </c>
    </row>
    <row r="25" spans="1:5" x14ac:dyDescent="0.25">
      <c r="A25" s="120" t="s">
        <v>215</v>
      </c>
      <c r="B25" s="232" t="s">
        <v>278</v>
      </c>
      <c r="C25" s="234"/>
      <c r="D25" s="122">
        <v>0.121</v>
      </c>
      <c r="E25" s="113">
        <f>ROUND(+$E$21*D25,2)</f>
        <v>223.53</v>
      </c>
    </row>
    <row r="26" spans="1:5" x14ac:dyDescent="0.25">
      <c r="A26" s="241" t="s">
        <v>220</v>
      </c>
      <c r="B26" s="242"/>
      <c r="C26" s="262"/>
      <c r="D26" s="123">
        <f>SUM(D24:D25)</f>
        <v>0.20429999999999998</v>
      </c>
      <c r="E26" s="116">
        <f>SUM(E24:E25)</f>
        <v>377.41999999999996</v>
      </c>
    </row>
    <row r="27" spans="1:5" ht="26.25" customHeight="1" x14ac:dyDescent="0.25">
      <c r="A27" s="263" t="s">
        <v>277</v>
      </c>
      <c r="B27" s="264"/>
      <c r="C27" s="264"/>
      <c r="D27" s="264"/>
      <c r="E27" s="265"/>
    </row>
    <row r="28" spans="1:5" x14ac:dyDescent="0.25">
      <c r="A28" s="114" t="s">
        <v>259</v>
      </c>
      <c r="B28" s="232" t="s">
        <v>276</v>
      </c>
      <c r="C28" s="251"/>
      <c r="D28" s="252"/>
      <c r="E28" s="115" t="s">
        <v>218</v>
      </c>
    </row>
    <row r="29" spans="1:5" x14ac:dyDescent="0.25">
      <c r="A29" s="120" t="s">
        <v>217</v>
      </c>
      <c r="B29" s="258" t="s">
        <v>275</v>
      </c>
      <c r="C29" s="259"/>
      <c r="D29" s="122">
        <v>0.2</v>
      </c>
      <c r="E29" s="113">
        <f>(E21+E26)*D29</f>
        <v>444.95800000000003</v>
      </c>
    </row>
    <row r="30" spans="1:5" x14ac:dyDescent="0.25">
      <c r="A30" s="120" t="s">
        <v>215</v>
      </c>
      <c r="B30" s="258" t="s">
        <v>274</v>
      </c>
      <c r="C30" s="259"/>
      <c r="D30" s="122">
        <v>1.4999999999999999E-2</v>
      </c>
      <c r="E30" s="113">
        <f>(E21+E26)*D30</f>
        <v>33.371849999999995</v>
      </c>
    </row>
    <row r="31" spans="1:5" x14ac:dyDescent="0.25">
      <c r="A31" s="120" t="s">
        <v>213</v>
      </c>
      <c r="B31" s="258" t="s">
        <v>273</v>
      </c>
      <c r="C31" s="259"/>
      <c r="D31" s="122">
        <v>0.01</v>
      </c>
      <c r="E31" s="113">
        <f>(E21+E26)*D31</f>
        <v>22.247900000000001</v>
      </c>
    </row>
    <row r="32" spans="1:5" x14ac:dyDescent="0.25">
      <c r="A32" s="120" t="s">
        <v>211</v>
      </c>
      <c r="B32" s="258" t="s">
        <v>272</v>
      </c>
      <c r="C32" s="259"/>
      <c r="D32" s="122">
        <v>2E-3</v>
      </c>
      <c r="E32" s="113">
        <f>(E21+E26)*D32</f>
        <v>4.4495800000000001</v>
      </c>
    </row>
    <row r="33" spans="1:5" x14ac:dyDescent="0.25">
      <c r="A33" s="120" t="s">
        <v>209</v>
      </c>
      <c r="B33" s="258" t="s">
        <v>271</v>
      </c>
      <c r="C33" s="259"/>
      <c r="D33" s="122">
        <v>2.5000000000000001E-2</v>
      </c>
      <c r="E33" s="113">
        <f>(E21+E26)*D33</f>
        <v>55.619750000000003</v>
      </c>
    </row>
    <row r="34" spans="1:5" x14ac:dyDescent="0.25">
      <c r="A34" s="120" t="s">
        <v>241</v>
      </c>
      <c r="B34" s="258" t="s">
        <v>270</v>
      </c>
      <c r="C34" s="259"/>
      <c r="D34" s="122">
        <v>0.08</v>
      </c>
      <c r="E34" s="113">
        <f>(E21+E26)*D34</f>
        <v>177.98320000000001</v>
      </c>
    </row>
    <row r="35" spans="1:5" x14ac:dyDescent="0.25">
      <c r="A35" s="294" t="s">
        <v>269</v>
      </c>
      <c r="B35" s="310" t="s">
        <v>268</v>
      </c>
      <c r="C35" s="311"/>
      <c r="D35" s="136">
        <v>0.06</v>
      </c>
      <c r="E35" s="297">
        <f>(E21+E26)*D35</f>
        <v>133.48739999999998</v>
      </c>
    </row>
    <row r="36" spans="1:5" x14ac:dyDescent="0.25">
      <c r="A36" s="120" t="s">
        <v>267</v>
      </c>
      <c r="B36" s="260" t="s">
        <v>266</v>
      </c>
      <c r="C36" s="261"/>
      <c r="D36" s="122">
        <v>6.0000000000000001E-3</v>
      </c>
      <c r="E36" s="113">
        <f>(E21+E26)*D36</f>
        <v>13.348739999999999</v>
      </c>
    </row>
    <row r="37" spans="1:5" x14ac:dyDescent="0.25">
      <c r="A37" s="241" t="s">
        <v>220</v>
      </c>
      <c r="B37" s="242"/>
      <c r="C37" s="262"/>
      <c r="D37" s="123">
        <f>SUM(D29:D36)</f>
        <v>0.39800000000000008</v>
      </c>
      <c r="E37" s="116">
        <f>SUM(E29:E36)</f>
        <v>885.46642000000008</v>
      </c>
    </row>
    <row r="38" spans="1:5" x14ac:dyDescent="0.25">
      <c r="A38" s="114" t="s">
        <v>257</v>
      </c>
      <c r="B38" s="232" t="s">
        <v>265</v>
      </c>
      <c r="C38" s="251"/>
      <c r="D38" s="252"/>
      <c r="E38" s="115" t="s">
        <v>218</v>
      </c>
    </row>
    <row r="39" spans="1:5" x14ac:dyDescent="0.25">
      <c r="A39" s="294" t="s">
        <v>217</v>
      </c>
      <c r="B39" s="295" t="s">
        <v>317</v>
      </c>
      <c r="C39" s="298"/>
      <c r="D39" s="296"/>
      <c r="E39" s="299">
        <f>(12*23)-(E16*6%)</f>
        <v>182.1018</v>
      </c>
    </row>
    <row r="40" spans="1:5" x14ac:dyDescent="0.25">
      <c r="A40" s="294" t="s">
        <v>215</v>
      </c>
      <c r="B40" s="295" t="s">
        <v>308</v>
      </c>
      <c r="C40" s="298"/>
      <c r="D40" s="296"/>
      <c r="E40" s="300">
        <v>0</v>
      </c>
    </row>
    <row r="41" spans="1:5" x14ac:dyDescent="0.25">
      <c r="A41" s="294" t="s">
        <v>213</v>
      </c>
      <c r="B41" s="301" t="s">
        <v>318</v>
      </c>
      <c r="C41" s="302"/>
      <c r="D41" s="303"/>
      <c r="E41" s="300">
        <v>226.16</v>
      </c>
    </row>
    <row r="42" spans="1:5" ht="25.5" customHeight="1" x14ac:dyDescent="0.25">
      <c r="A42" s="294" t="s">
        <v>313</v>
      </c>
      <c r="B42" s="304" t="s">
        <v>319</v>
      </c>
      <c r="C42" s="305"/>
      <c r="D42" s="306"/>
      <c r="E42" s="300">
        <v>-2</v>
      </c>
    </row>
    <row r="43" spans="1:5" x14ac:dyDescent="0.25">
      <c r="A43" s="294" t="s">
        <v>211</v>
      </c>
      <c r="B43" s="301" t="s">
        <v>320</v>
      </c>
      <c r="C43" s="302"/>
      <c r="D43" s="303"/>
      <c r="E43" s="300">
        <v>0</v>
      </c>
    </row>
    <row r="44" spans="1:5" x14ac:dyDescent="0.25">
      <c r="A44" s="294" t="s">
        <v>209</v>
      </c>
      <c r="B44" s="295" t="s">
        <v>309</v>
      </c>
      <c r="C44" s="298"/>
      <c r="D44" s="296"/>
      <c r="E44" s="300">
        <v>0</v>
      </c>
    </row>
    <row r="45" spans="1:5" ht="25.5" customHeight="1" x14ac:dyDescent="0.25">
      <c r="A45" s="294" t="s">
        <v>241</v>
      </c>
      <c r="B45" s="307" t="s">
        <v>321</v>
      </c>
      <c r="C45" s="308"/>
      <c r="D45" s="309"/>
      <c r="E45" s="300">
        <f>-E11*2%</f>
        <v>-31.299400000000002</v>
      </c>
    </row>
    <row r="46" spans="1:5" x14ac:dyDescent="0.25">
      <c r="A46" s="294" t="s">
        <v>269</v>
      </c>
      <c r="B46" s="295" t="s">
        <v>264</v>
      </c>
      <c r="C46" s="298"/>
      <c r="D46" s="296"/>
      <c r="E46" s="297">
        <v>18.53</v>
      </c>
    </row>
    <row r="47" spans="1:5" x14ac:dyDescent="0.25">
      <c r="A47" s="241" t="s">
        <v>263</v>
      </c>
      <c r="B47" s="242"/>
      <c r="C47" s="242"/>
      <c r="D47" s="243"/>
      <c r="E47" s="116">
        <f>SUM(E39:E46)</f>
        <v>393.49239999999998</v>
      </c>
    </row>
    <row r="48" spans="1:5" x14ac:dyDescent="0.25">
      <c r="A48" s="248" t="s">
        <v>262</v>
      </c>
      <c r="B48" s="249"/>
      <c r="C48" s="249"/>
      <c r="D48" s="253"/>
      <c r="E48" s="115" t="s">
        <v>218</v>
      </c>
    </row>
    <row r="49" spans="1:8" x14ac:dyDescent="0.25">
      <c r="A49" s="114" t="s">
        <v>261</v>
      </c>
      <c r="B49" s="232" t="s">
        <v>260</v>
      </c>
      <c r="C49" s="251"/>
      <c r="D49" s="252"/>
      <c r="E49" s="127">
        <f>E26</f>
        <v>377.41999999999996</v>
      </c>
    </row>
    <row r="50" spans="1:8" x14ac:dyDescent="0.25">
      <c r="A50" s="114" t="s">
        <v>259</v>
      </c>
      <c r="B50" s="232" t="s">
        <v>258</v>
      </c>
      <c r="C50" s="233"/>
      <c r="D50" s="234"/>
      <c r="E50" s="113">
        <f>E37</f>
        <v>885.46642000000008</v>
      </c>
    </row>
    <row r="51" spans="1:8" x14ac:dyDescent="0.25">
      <c r="A51" s="114" t="s">
        <v>257</v>
      </c>
      <c r="B51" s="232" t="s">
        <v>256</v>
      </c>
      <c r="C51" s="233"/>
      <c r="D51" s="234"/>
      <c r="E51" s="113">
        <f>E47</f>
        <v>393.49239999999998</v>
      </c>
    </row>
    <row r="52" spans="1:8" ht="15" customHeight="1" x14ac:dyDescent="0.25">
      <c r="A52" s="241" t="s">
        <v>220</v>
      </c>
      <c r="B52" s="242"/>
      <c r="C52" s="242"/>
      <c r="D52" s="243"/>
      <c r="E52" s="116">
        <f>SUM(E49:E51)</f>
        <v>1656.3788199999999</v>
      </c>
    </row>
    <row r="53" spans="1:8" x14ac:dyDescent="0.25">
      <c r="A53" s="248" t="s">
        <v>255</v>
      </c>
      <c r="B53" s="249"/>
      <c r="C53" s="249"/>
      <c r="D53" s="253"/>
      <c r="E53" s="113"/>
    </row>
    <row r="54" spans="1:8" x14ac:dyDescent="0.25">
      <c r="A54" s="114" t="s">
        <v>254</v>
      </c>
      <c r="B54" s="232" t="s">
        <v>253</v>
      </c>
      <c r="C54" s="251"/>
      <c r="D54" s="252"/>
      <c r="E54" s="115" t="s">
        <v>218</v>
      </c>
    </row>
    <row r="55" spans="1:8" x14ac:dyDescent="0.25">
      <c r="A55" s="120" t="s">
        <v>217</v>
      </c>
      <c r="B55" s="238" t="s">
        <v>252</v>
      </c>
      <c r="C55" s="240"/>
      <c r="D55" s="122">
        <v>4.5999999999999999E-3</v>
      </c>
      <c r="E55" s="113">
        <f>ROUND(+D55*$E$21,2)</f>
        <v>8.5</v>
      </c>
    </row>
    <row r="56" spans="1:8" x14ac:dyDescent="0.25">
      <c r="A56" s="120" t="s">
        <v>215</v>
      </c>
      <c r="B56" s="238" t="s">
        <v>251</v>
      </c>
      <c r="C56" s="240"/>
      <c r="D56" s="122">
        <f>D34*D55</f>
        <v>3.68E-4</v>
      </c>
      <c r="E56" s="113">
        <f>ROUND(+D56*$E$21,2)</f>
        <v>0.68</v>
      </c>
    </row>
    <row r="57" spans="1:8" x14ac:dyDescent="0.25">
      <c r="A57" s="120" t="s">
        <v>213</v>
      </c>
      <c r="B57" s="258" t="s">
        <v>250</v>
      </c>
      <c r="C57" s="259"/>
      <c r="D57" s="122">
        <v>1.9400000000000001E-2</v>
      </c>
      <c r="E57" s="113">
        <f>ROUND(+D57*$E$21,2)</f>
        <v>35.840000000000003</v>
      </c>
    </row>
    <row r="58" spans="1:8" ht="25.5" customHeight="1" x14ac:dyDescent="0.25">
      <c r="A58" s="120" t="s">
        <v>211</v>
      </c>
      <c r="B58" s="238" t="s">
        <v>249</v>
      </c>
      <c r="C58" s="240"/>
      <c r="D58" s="122">
        <f>D37*D57</f>
        <v>7.7212000000000018E-3</v>
      </c>
      <c r="E58" s="113">
        <f>ROUND(+D58*$E$21,2)</f>
        <v>14.26</v>
      </c>
    </row>
    <row r="59" spans="1:8" ht="36.75" customHeight="1" x14ac:dyDescent="0.25">
      <c r="A59" s="120" t="s">
        <v>209</v>
      </c>
      <c r="B59" s="238" t="s">
        <v>248</v>
      </c>
      <c r="C59" s="240"/>
      <c r="D59" s="122">
        <f>4%</f>
        <v>0.04</v>
      </c>
      <c r="E59" s="113">
        <f>ROUND(+D59*$E$21,2)</f>
        <v>73.89</v>
      </c>
      <c r="H59" s="126"/>
    </row>
    <row r="60" spans="1:8" x14ac:dyDescent="0.25">
      <c r="A60" s="241" t="s">
        <v>220</v>
      </c>
      <c r="B60" s="242"/>
      <c r="C60" s="242"/>
      <c r="D60" s="121">
        <f>SUM(D55:D59)</f>
        <v>7.2089200000000006E-2</v>
      </c>
      <c r="E60" s="116">
        <f>SUM(E55:E59)</f>
        <v>133.17000000000002</v>
      </c>
    </row>
    <row r="61" spans="1:8" x14ac:dyDescent="0.25">
      <c r="A61" s="248" t="s">
        <v>247</v>
      </c>
      <c r="B61" s="249"/>
      <c r="C61" s="249"/>
      <c r="D61" s="249"/>
      <c r="E61" s="250"/>
    </row>
    <row r="62" spans="1:8" x14ac:dyDescent="0.25">
      <c r="A62" s="114" t="s">
        <v>234</v>
      </c>
      <c r="B62" s="257" t="s">
        <v>233</v>
      </c>
      <c r="C62" s="249"/>
      <c r="D62" s="253"/>
      <c r="E62" s="115" t="s">
        <v>218</v>
      </c>
    </row>
    <row r="63" spans="1:8" ht="15.75" x14ac:dyDescent="0.25">
      <c r="A63" s="120" t="s">
        <v>217</v>
      </c>
      <c r="B63" s="238" t="s">
        <v>246</v>
      </c>
      <c r="C63" s="240"/>
      <c r="D63" s="136">
        <f>D25/12</f>
        <v>1.0083333333333333E-2</v>
      </c>
      <c r="E63" s="113">
        <f t="shared" ref="E63:E68" si="0">($E$21+$E$52+$E$60+$E$81)*D63</f>
        <v>37.428514768333329</v>
      </c>
      <c r="G63" s="125"/>
    </row>
    <row r="64" spans="1:8" ht="15.75" x14ac:dyDescent="0.25">
      <c r="A64" s="120" t="s">
        <v>215</v>
      </c>
      <c r="B64" s="238" t="s">
        <v>245</v>
      </c>
      <c r="C64" s="240"/>
      <c r="D64" s="136">
        <v>1.66E-2</v>
      </c>
      <c r="E64" s="113">
        <f t="shared" si="0"/>
        <v>61.617852411999998</v>
      </c>
      <c r="G64" s="125"/>
    </row>
    <row r="65" spans="1:7" ht="15.75" x14ac:dyDescent="0.25">
      <c r="A65" s="120" t="s">
        <v>213</v>
      </c>
      <c r="B65" s="238" t="s">
        <v>244</v>
      </c>
      <c r="C65" s="240"/>
      <c r="D65" s="136">
        <v>2.0000000000000001E-4</v>
      </c>
      <c r="E65" s="113">
        <f t="shared" si="0"/>
        <v>0.74238376400000006</v>
      </c>
      <c r="G65" s="125"/>
    </row>
    <row r="66" spans="1:7" ht="15.75" x14ac:dyDescent="0.25">
      <c r="A66" s="294" t="s">
        <v>211</v>
      </c>
      <c r="B66" s="295" t="s">
        <v>243</v>
      </c>
      <c r="C66" s="296"/>
      <c r="D66" s="136">
        <f>((15/30)/12)*(8%*100%)</f>
        <v>3.3333333333333331E-3</v>
      </c>
      <c r="E66" s="297">
        <f t="shared" si="0"/>
        <v>12.373062733333333</v>
      </c>
      <c r="G66" s="125"/>
    </row>
    <row r="67" spans="1:7" ht="15.75" x14ac:dyDescent="0.25">
      <c r="A67" s="120" t="s">
        <v>209</v>
      </c>
      <c r="B67" s="238" t="s">
        <v>242</v>
      </c>
      <c r="C67" s="240"/>
      <c r="D67" s="122">
        <v>2.9999999999999997E-4</v>
      </c>
      <c r="E67" s="113">
        <f t="shared" si="0"/>
        <v>1.1135756459999999</v>
      </c>
      <c r="G67" s="125"/>
    </row>
    <row r="68" spans="1:7" ht="15.75" x14ac:dyDescent="0.25">
      <c r="A68" s="120" t="s">
        <v>241</v>
      </c>
      <c r="B68" s="238" t="s">
        <v>240</v>
      </c>
      <c r="C68" s="240"/>
      <c r="D68" s="122">
        <v>0</v>
      </c>
      <c r="E68" s="113">
        <f t="shared" si="0"/>
        <v>0</v>
      </c>
      <c r="G68" s="125"/>
    </row>
    <row r="69" spans="1:7" ht="15.75" x14ac:dyDescent="0.25">
      <c r="A69" s="254" t="s">
        <v>239</v>
      </c>
      <c r="B69" s="255"/>
      <c r="C69" s="256"/>
      <c r="D69" s="121">
        <f>SUM(D63:D68)</f>
        <v>3.0516666666666668E-2</v>
      </c>
      <c r="E69" s="116">
        <f>SUM(E63:E68)</f>
        <v>113.27538932366666</v>
      </c>
      <c r="G69" s="125"/>
    </row>
    <row r="70" spans="1:7" ht="15.75" x14ac:dyDescent="0.25">
      <c r="A70" s="248"/>
      <c r="B70" s="249"/>
      <c r="C70" s="249"/>
      <c r="D70" s="249"/>
      <c r="E70" s="250"/>
      <c r="G70" s="125"/>
    </row>
    <row r="71" spans="1:7" ht="15.75" x14ac:dyDescent="0.25">
      <c r="A71" s="114" t="s">
        <v>238</v>
      </c>
      <c r="B71" s="232" t="s">
        <v>231</v>
      </c>
      <c r="C71" s="251"/>
      <c r="D71" s="252"/>
      <c r="E71" s="115" t="s">
        <v>218</v>
      </c>
      <c r="G71" s="124"/>
    </row>
    <row r="72" spans="1:7" x14ac:dyDescent="0.25">
      <c r="A72" s="120" t="s">
        <v>217</v>
      </c>
      <c r="B72" s="232" t="s">
        <v>237</v>
      </c>
      <c r="C72" s="234"/>
      <c r="D72" s="122">
        <v>0</v>
      </c>
      <c r="E72" s="113">
        <f>ROUND(+$E$22*D72,2)</f>
        <v>0</v>
      </c>
    </row>
    <row r="73" spans="1:7" x14ac:dyDescent="0.25">
      <c r="A73" s="241" t="s">
        <v>220</v>
      </c>
      <c r="B73" s="242"/>
      <c r="C73" s="242"/>
      <c r="D73" s="123">
        <f>D72</f>
        <v>0</v>
      </c>
      <c r="E73" s="116">
        <f>E72</f>
        <v>0</v>
      </c>
    </row>
    <row r="74" spans="1:7" x14ac:dyDescent="0.25">
      <c r="A74" s="248" t="s">
        <v>236</v>
      </c>
      <c r="B74" s="249"/>
      <c r="C74" s="249"/>
      <c r="D74" s="253"/>
      <c r="E74" s="113"/>
    </row>
    <row r="75" spans="1:7" x14ac:dyDescent="0.25">
      <c r="A75" s="114">
        <v>4</v>
      </c>
      <c r="B75" s="232" t="s">
        <v>235</v>
      </c>
      <c r="C75" s="251"/>
      <c r="D75" s="252"/>
      <c r="E75" s="115" t="s">
        <v>218</v>
      </c>
    </row>
    <row r="76" spans="1:7" x14ac:dyDescent="0.25">
      <c r="A76" s="120" t="s">
        <v>234</v>
      </c>
      <c r="B76" s="238" t="s">
        <v>233</v>
      </c>
      <c r="C76" s="240"/>
      <c r="D76" s="122">
        <f>D69</f>
        <v>3.0516666666666668E-2</v>
      </c>
      <c r="E76" s="113">
        <f>E69</f>
        <v>113.27538932366666</v>
      </c>
    </row>
    <row r="77" spans="1:7" x14ac:dyDescent="0.25">
      <c r="A77" s="120" t="s">
        <v>232</v>
      </c>
      <c r="B77" s="238" t="s">
        <v>231</v>
      </c>
      <c r="C77" s="240"/>
      <c r="D77" s="122">
        <f>D73</f>
        <v>0</v>
      </c>
      <c r="E77" s="113">
        <f>E73</f>
        <v>0</v>
      </c>
    </row>
    <row r="78" spans="1:7" x14ac:dyDescent="0.25">
      <c r="A78" s="241" t="s">
        <v>230</v>
      </c>
      <c r="B78" s="242"/>
      <c r="C78" s="243"/>
      <c r="D78" s="121">
        <f>SUM(D73:D77)</f>
        <v>3.0516666666666668E-2</v>
      </c>
      <c r="E78" s="116">
        <f>SUM(E76+E77)</f>
        <v>113.27538932366666</v>
      </c>
    </row>
    <row r="79" spans="1:7" x14ac:dyDescent="0.25">
      <c r="A79" s="248" t="s">
        <v>229</v>
      </c>
      <c r="B79" s="249"/>
      <c r="C79" s="249"/>
      <c r="D79" s="249"/>
      <c r="E79" s="250"/>
    </row>
    <row r="80" spans="1:7" x14ac:dyDescent="0.25">
      <c r="A80" s="114">
        <v>5</v>
      </c>
      <c r="B80" s="232" t="s">
        <v>228</v>
      </c>
      <c r="C80" s="251"/>
      <c r="D80" s="252"/>
      <c r="E80" s="115" t="s">
        <v>218</v>
      </c>
    </row>
    <row r="81" spans="1:5" x14ac:dyDescent="0.25">
      <c r="A81" s="120" t="s">
        <v>217</v>
      </c>
      <c r="B81" s="238" t="s">
        <v>227</v>
      </c>
      <c r="C81" s="239"/>
      <c r="D81" s="240"/>
      <c r="E81" s="297">
        <f>[1]Uniformes!D9</f>
        <v>75</v>
      </c>
    </row>
    <row r="82" spans="1:5" x14ac:dyDescent="0.25">
      <c r="A82" s="120" t="s">
        <v>215</v>
      </c>
      <c r="B82" s="119" t="s">
        <v>226</v>
      </c>
      <c r="C82" s="118"/>
      <c r="D82" s="117"/>
      <c r="E82" s="113">
        <v>0</v>
      </c>
    </row>
    <row r="83" spans="1:5" x14ac:dyDescent="0.25">
      <c r="A83" s="120" t="s">
        <v>213</v>
      </c>
      <c r="B83" s="238" t="s">
        <v>225</v>
      </c>
      <c r="C83" s="239"/>
      <c r="D83" s="240"/>
      <c r="E83" s="113">
        <v>0</v>
      </c>
    </row>
    <row r="84" spans="1:5" x14ac:dyDescent="0.25">
      <c r="A84" s="120" t="s">
        <v>211</v>
      </c>
      <c r="B84" s="238" t="s">
        <v>224</v>
      </c>
      <c r="C84" s="239"/>
      <c r="D84" s="240"/>
      <c r="E84" s="113">
        <v>0</v>
      </c>
    </row>
    <row r="85" spans="1:5" x14ac:dyDescent="0.25">
      <c r="A85" s="120" t="s">
        <v>209</v>
      </c>
      <c r="B85" s="238" t="s">
        <v>223</v>
      </c>
      <c r="C85" s="239"/>
      <c r="D85" s="240"/>
      <c r="E85" s="113">
        <f>0</f>
        <v>0</v>
      </c>
    </row>
    <row r="86" spans="1:5" ht="15" customHeight="1" x14ac:dyDescent="0.25">
      <c r="A86" s="241" t="s">
        <v>222</v>
      </c>
      <c r="B86" s="242"/>
      <c r="C86" s="242"/>
      <c r="D86" s="243"/>
      <c r="E86" s="116">
        <f>SUM(E81:E85)</f>
        <v>75</v>
      </c>
    </row>
    <row r="87" spans="1:5" x14ac:dyDescent="0.25">
      <c r="A87" s="244" t="s">
        <v>221</v>
      </c>
      <c r="B87" s="245"/>
      <c r="C87" s="246" t="s">
        <v>220</v>
      </c>
      <c r="D87" s="245"/>
      <c r="E87" s="113">
        <f>SUM(E21+E52+E60+E78+E86)</f>
        <v>3825.1942093236667</v>
      </c>
    </row>
    <row r="88" spans="1:5" x14ac:dyDescent="0.25">
      <c r="A88" s="244" t="s">
        <v>219</v>
      </c>
      <c r="B88" s="247"/>
      <c r="C88" s="247"/>
      <c r="D88" s="245"/>
      <c r="E88" s="115" t="s">
        <v>218</v>
      </c>
    </row>
    <row r="89" spans="1:5" x14ac:dyDescent="0.25">
      <c r="A89" s="114" t="s">
        <v>217</v>
      </c>
      <c r="B89" s="232" t="s">
        <v>216</v>
      </c>
      <c r="C89" s="233"/>
      <c r="D89" s="234"/>
      <c r="E89" s="113">
        <f>+E21</f>
        <v>1847.3700000000001</v>
      </c>
    </row>
    <row r="90" spans="1:5" x14ac:dyDescent="0.25">
      <c r="A90" s="114" t="s">
        <v>215</v>
      </c>
      <c r="B90" s="232" t="s">
        <v>214</v>
      </c>
      <c r="C90" s="233"/>
      <c r="D90" s="234"/>
      <c r="E90" s="113">
        <f>E52</f>
        <v>1656.3788199999999</v>
      </c>
    </row>
    <row r="91" spans="1:5" x14ac:dyDescent="0.25">
      <c r="A91" s="114" t="s">
        <v>213</v>
      </c>
      <c r="B91" s="232" t="s">
        <v>212</v>
      </c>
      <c r="C91" s="233"/>
      <c r="D91" s="234"/>
      <c r="E91" s="113">
        <f>E60</f>
        <v>133.17000000000002</v>
      </c>
    </row>
    <row r="92" spans="1:5" ht="15" customHeight="1" x14ac:dyDescent="0.25">
      <c r="A92" s="114" t="s">
        <v>211</v>
      </c>
      <c r="B92" s="232" t="s">
        <v>210</v>
      </c>
      <c r="C92" s="233"/>
      <c r="D92" s="234"/>
      <c r="E92" s="113">
        <f>E78</f>
        <v>113.27538932366666</v>
      </c>
    </row>
    <row r="93" spans="1:5" x14ac:dyDescent="0.25">
      <c r="A93" s="114" t="s">
        <v>209</v>
      </c>
      <c r="B93" s="232" t="s">
        <v>208</v>
      </c>
      <c r="C93" s="233"/>
      <c r="D93" s="234"/>
      <c r="E93" s="113">
        <f>E86</f>
        <v>75</v>
      </c>
    </row>
    <row r="94" spans="1:5" ht="15.75" thickBot="1" x14ac:dyDescent="0.3">
      <c r="A94" s="235" t="s">
        <v>207</v>
      </c>
      <c r="B94" s="236"/>
      <c r="C94" s="236"/>
      <c r="D94" s="237"/>
      <c r="E94" s="112">
        <f>SUM(E89:E93)</f>
        <v>3825.1942093236667</v>
      </c>
    </row>
    <row r="95" spans="1:5" x14ac:dyDescent="0.25">
      <c r="A95" s="111"/>
      <c r="B95" s="110"/>
      <c r="C95" s="110"/>
      <c r="D95" s="109"/>
      <c r="E95" s="108"/>
    </row>
    <row r="106" ht="15" customHeight="1" x14ac:dyDescent="0.25"/>
  </sheetData>
  <mergeCells count="90">
    <mergeCell ref="A6:E6"/>
    <mergeCell ref="A1:E1"/>
    <mergeCell ref="C2:E2"/>
    <mergeCell ref="C3:E3"/>
    <mergeCell ref="C4:E4"/>
    <mergeCell ref="C5:E5"/>
    <mergeCell ref="C20:D20"/>
    <mergeCell ref="A7:E7"/>
    <mergeCell ref="A8:E8"/>
    <mergeCell ref="A9:D9"/>
    <mergeCell ref="C10:E10"/>
    <mergeCell ref="C12:E12"/>
    <mergeCell ref="C13:E13"/>
    <mergeCell ref="A14:E14"/>
    <mergeCell ref="B15:D15"/>
    <mergeCell ref="C16:D16"/>
    <mergeCell ref="C17:D17"/>
    <mergeCell ref="C19:D19"/>
    <mergeCell ref="B32:C32"/>
    <mergeCell ref="A21:D21"/>
    <mergeCell ref="A22:E22"/>
    <mergeCell ref="B23:D23"/>
    <mergeCell ref="B24:C24"/>
    <mergeCell ref="B25:C25"/>
    <mergeCell ref="A26:C26"/>
    <mergeCell ref="A27:E27"/>
    <mergeCell ref="B28:D28"/>
    <mergeCell ref="B29:C29"/>
    <mergeCell ref="B30:C30"/>
    <mergeCell ref="B31:C31"/>
    <mergeCell ref="B46:D46"/>
    <mergeCell ref="B33:C33"/>
    <mergeCell ref="B34:C34"/>
    <mergeCell ref="B35:C35"/>
    <mergeCell ref="B36:C36"/>
    <mergeCell ref="A37:C37"/>
    <mergeCell ref="B38:D38"/>
    <mergeCell ref="B39:D39"/>
    <mergeCell ref="B40:D40"/>
    <mergeCell ref="B42:D42"/>
    <mergeCell ref="B44:D44"/>
    <mergeCell ref="B45:D45"/>
    <mergeCell ref="B58:C58"/>
    <mergeCell ref="A47:D47"/>
    <mergeCell ref="A48:D48"/>
    <mergeCell ref="B49:D49"/>
    <mergeCell ref="B50:D50"/>
    <mergeCell ref="B51:D51"/>
    <mergeCell ref="A52:D52"/>
    <mergeCell ref="A53:D53"/>
    <mergeCell ref="B54:D54"/>
    <mergeCell ref="B55:C55"/>
    <mergeCell ref="B56:C56"/>
    <mergeCell ref="B57:C57"/>
    <mergeCell ref="A70:E70"/>
    <mergeCell ref="B59:C59"/>
    <mergeCell ref="A60:C60"/>
    <mergeCell ref="A61:E61"/>
    <mergeCell ref="B62:D62"/>
    <mergeCell ref="B63:C63"/>
    <mergeCell ref="B64:C64"/>
    <mergeCell ref="B65:C65"/>
    <mergeCell ref="B66:C66"/>
    <mergeCell ref="B67:C67"/>
    <mergeCell ref="B68:C68"/>
    <mergeCell ref="A69:C69"/>
    <mergeCell ref="B83:D83"/>
    <mergeCell ref="B71:D71"/>
    <mergeCell ref="B72:C72"/>
    <mergeCell ref="A73:C73"/>
    <mergeCell ref="A74:D74"/>
    <mergeCell ref="B75:D75"/>
    <mergeCell ref="B76:C76"/>
    <mergeCell ref="B77:C77"/>
    <mergeCell ref="A78:C78"/>
    <mergeCell ref="A79:E79"/>
    <mergeCell ref="B80:D80"/>
    <mergeCell ref="B81:D81"/>
    <mergeCell ref="A94:D94"/>
    <mergeCell ref="B84:D84"/>
    <mergeCell ref="B85:D85"/>
    <mergeCell ref="A86:D86"/>
    <mergeCell ref="A87:B87"/>
    <mergeCell ref="C87:D87"/>
    <mergeCell ref="A88:D88"/>
    <mergeCell ref="B89:D89"/>
    <mergeCell ref="B90:D90"/>
    <mergeCell ref="B91:D91"/>
    <mergeCell ref="B92:D92"/>
    <mergeCell ref="B93:D93"/>
  </mergeCells>
  <hyperlinks>
    <hyperlink ref="B36" r:id="rId1" display="08 - Sebrae 0,3% ou 0,6% - IN nº 03, MPS/SRP/2005, Anexo II e III ver código da Tabela"/>
  </hyperlinks>
  <pageMargins left="0.511811024" right="0.511811024" top="0.78740157499999996" bottom="0.78740157499999996" header="0.31496062000000002" footer="0.31496062000000002"/>
  <pageSetup scale="91" orientation="portrait" horizontalDpi="4294967295" verticalDpi="4294967295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COMPOSIÇÃO DOS CUSTOS</vt:lpstr>
      <vt:lpstr>TABELA DE VALORES POR TRECHO</vt:lpstr>
      <vt:lpstr>DEPRECIAÇÃO LINEAR</vt:lpstr>
      <vt:lpstr>TIPO DO ÔNIBUS</vt:lpstr>
      <vt:lpstr>Motorista</vt:lpstr>
      <vt:lpstr>Monitor</vt:lpstr>
      <vt:lpstr>'COMPOSIÇÃO DOS CUSTOS'!Area_de_impressao</vt:lpstr>
      <vt:lpstr>Monitor!Area_de_impressao</vt:lpstr>
      <vt:lpstr>Motorista!Area_de_impressao</vt:lpstr>
      <vt:lpstr>'TABELA DE VALORES POR TRECHO'!Area_de_impressao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61697605249</dc:creator>
  <cp:lastModifiedBy>Ana Clara Vieira do Nascimento</cp:lastModifiedBy>
  <cp:lastPrinted>2024-12-26T13:12:35Z</cp:lastPrinted>
  <dcterms:created xsi:type="dcterms:W3CDTF">2016-09-12T18:52:43Z</dcterms:created>
  <dcterms:modified xsi:type="dcterms:W3CDTF">2024-12-30T12:46:19Z</dcterms:modified>
</cp:coreProperties>
</file>