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T:\CIA\Francis Junior\VIGILÂNCIA ARMADA\"/>
    </mc:Choice>
  </mc:AlternateContent>
  <xr:revisionPtr revIDLastSave="0" documentId="13_ncr:1_{531922AA-CA4C-4DC7-BF8E-47093B2282E7}" xr6:coauthVersionLast="47" xr6:coauthVersionMax="47" xr10:uidLastSave="{00000000-0000-0000-0000-000000000000}"/>
  <bookViews>
    <workbookView xWindow="-120" yWindow="-120" windowWidth="29040" windowHeight="15840" tabRatio="951" firstSheet="2" activeTab="2" xr2:uid="{00000000-000D-0000-FFFF-FFFF00000000}"/>
  </bookViews>
  <sheets>
    <sheet name="Plan2" sheetId="2" state="hidden" r:id="rId1"/>
    <sheet name="Plan3" sheetId="3" state="hidden" r:id="rId2"/>
    <sheet name="resumo" sheetId="48" r:id="rId3"/>
    <sheet name="Vigilante diurno (ARM.)" sheetId="56" r:id="rId4"/>
    <sheet name="Vigilante noturno (ARM.) (2)" sheetId="61" r:id="rId5"/>
    <sheet name="Horista Diurno " sheetId="58" state="hidden" r:id="rId6"/>
    <sheet name="Horista Noturno " sheetId="60" state="hidden" r:id="rId7"/>
    <sheet name="Material e uniforme" sheetId="47" r:id="rId8"/>
  </sheets>
  <definedNames>
    <definedName name="_xlnm.Print_Area" localSheetId="5">'Horista Diurno '!$A$1:$E$92</definedName>
    <definedName name="_xlnm.Print_Area" localSheetId="6">'Horista Noturno '!$A$1:$E$92</definedName>
    <definedName name="_xlnm.Print_Area" localSheetId="7">'Material e uniforme'!$A$1:$I$41</definedName>
    <definedName name="_xlnm.Print_Area" localSheetId="2">resumo!$A$1:$G$11</definedName>
    <definedName name="_xlnm.Print_Area" localSheetId="3">'Vigilante diurno (ARM.)'!$A$1:$E$109</definedName>
    <definedName name="_xlnm.Print_Area" localSheetId="4">'Vigilante noturno (ARM.) (2)'!$A$1:$E$109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61" l="1"/>
  <c r="E40" i="56" l="1"/>
  <c r="F25" i="47" l="1"/>
  <c r="I25" i="47" l="1"/>
  <c r="F24" i="47"/>
  <c r="I24" i="47" s="1"/>
  <c r="F40" i="47"/>
  <c r="I40" i="47" s="1"/>
  <c r="F39" i="47"/>
  <c r="I39" i="47" s="1"/>
  <c r="F38" i="47"/>
  <c r="I38" i="47" s="1"/>
  <c r="F37" i="47"/>
  <c r="I37" i="47" s="1"/>
  <c r="F36" i="47"/>
  <c r="I36" i="47" s="1"/>
  <c r="F35" i="47"/>
  <c r="I35" i="47" s="1"/>
  <c r="F34" i="47"/>
  <c r="I34" i="47" s="1"/>
  <c r="F33" i="47"/>
  <c r="I33" i="47" s="1"/>
  <c r="F32" i="47"/>
  <c r="I32" i="47" s="1"/>
  <c r="F31" i="47"/>
  <c r="I31" i="47" s="1"/>
  <c r="F30" i="47"/>
  <c r="I30" i="47" s="1"/>
  <c r="F23" i="47"/>
  <c r="I23" i="47" s="1"/>
  <c r="F22" i="47"/>
  <c r="I22" i="47" s="1"/>
  <c r="F21" i="47"/>
  <c r="I21" i="47" s="1"/>
  <c r="F20" i="47"/>
  <c r="I20" i="47" s="1"/>
  <c r="F13" i="47"/>
  <c r="H13" i="47" s="1"/>
  <c r="F12" i="47"/>
  <c r="H12" i="47" s="1"/>
  <c r="F11" i="47"/>
  <c r="H11" i="47" s="1"/>
  <c r="F10" i="47"/>
  <c r="H10" i="47" s="1"/>
  <c r="F9" i="47"/>
  <c r="H9" i="47" s="1"/>
  <c r="F8" i="47"/>
  <c r="H8" i="47" s="1"/>
  <c r="F7" i="47"/>
  <c r="H7" i="47" s="1"/>
  <c r="F6" i="47"/>
  <c r="H6" i="47" s="1"/>
  <c r="F5" i="47"/>
  <c r="H5" i="47" s="1"/>
  <c r="F4" i="47"/>
  <c r="H4" i="47" s="1"/>
  <c r="F3" i="47"/>
  <c r="H3" i="47" s="1"/>
  <c r="H14" i="47" s="1"/>
  <c r="H26" i="47" l="1"/>
  <c r="H41" i="47"/>
  <c r="E69" i="61"/>
  <c r="E69" i="56"/>
  <c r="E18" i="61"/>
  <c r="D98" i="61"/>
  <c r="D90" i="61"/>
  <c r="D65" i="61"/>
  <c r="D64" i="61"/>
  <c r="D63" i="61"/>
  <c r="D62" i="61"/>
  <c r="D60" i="61"/>
  <c r="D56" i="61"/>
  <c r="D53" i="61"/>
  <c r="E43" i="61"/>
  <c r="E42" i="61"/>
  <c r="E41" i="61"/>
  <c r="E44" i="61" s="1"/>
  <c r="D37" i="61"/>
  <c r="D24" i="61"/>
  <c r="D26" i="61" s="1"/>
  <c r="E17" i="61"/>
  <c r="E16" i="61"/>
  <c r="E41" i="56"/>
  <c r="E19" i="61" l="1"/>
  <c r="E20" i="61" s="1"/>
  <c r="D55" i="61"/>
  <c r="D57" i="61" s="1"/>
  <c r="D70" i="61"/>
  <c r="E70" i="61" s="1"/>
  <c r="E71" i="61" s="1"/>
  <c r="D66" i="61"/>
  <c r="D74" i="61" s="1"/>
  <c r="D76" i="61" s="1"/>
  <c r="E48" i="61"/>
  <c r="F8" i="60"/>
  <c r="E21" i="61" l="1"/>
  <c r="E52" i="61" s="1"/>
  <c r="D20" i="61"/>
  <c r="E54" i="61"/>
  <c r="G8" i="60"/>
  <c r="G7" i="60"/>
  <c r="G9" i="60" s="1"/>
  <c r="G11" i="60" s="1"/>
  <c r="E101" i="61" l="1"/>
  <c r="E56" i="61"/>
  <c r="E55" i="61"/>
  <c r="E53" i="61"/>
  <c r="E24" i="61"/>
  <c r="E25" i="61"/>
  <c r="E26" i="61"/>
  <c r="E46" i="61" s="1"/>
  <c r="D64" i="56"/>
  <c r="D63" i="56"/>
  <c r="D62" i="56"/>
  <c r="E57" i="61" l="1"/>
  <c r="E103" i="61" s="1"/>
  <c r="E33" i="61"/>
  <c r="E34" i="61"/>
  <c r="E29" i="61"/>
  <c r="E30" i="61"/>
  <c r="E36" i="61"/>
  <c r="E31" i="61"/>
  <c r="E32" i="61"/>
  <c r="E35" i="61"/>
  <c r="D90" i="56"/>
  <c r="E37" i="61" l="1"/>
  <c r="E47" i="61" s="1"/>
  <c r="E49" i="61" s="1"/>
  <c r="E102" i="61" s="1"/>
  <c r="E17" i="60"/>
  <c r="D60" i="60"/>
  <c r="D60" i="58"/>
  <c r="E43" i="60"/>
  <c r="E43" i="58"/>
  <c r="E40" i="60"/>
  <c r="E40" i="58"/>
  <c r="E16" i="60"/>
  <c r="E16" i="58"/>
  <c r="E18" i="58" s="1"/>
  <c r="D65" i="56"/>
  <c r="E43" i="56"/>
  <c r="E18" i="60" l="1"/>
  <c r="E79" i="60"/>
  <c r="E69" i="60"/>
  <c r="E70" i="60" s="1"/>
  <c r="E74" i="60" s="1"/>
  <c r="D65" i="60"/>
  <c r="D64" i="60"/>
  <c r="D63" i="60"/>
  <c r="D62" i="60"/>
  <c r="D56" i="60"/>
  <c r="D53" i="60"/>
  <c r="E42" i="60"/>
  <c r="D37" i="60"/>
  <c r="D55" i="60" s="1"/>
  <c r="D24" i="60"/>
  <c r="D26" i="60" s="1"/>
  <c r="E79" i="58"/>
  <c r="E69" i="58"/>
  <c r="E70" i="58" s="1"/>
  <c r="E74" i="58" s="1"/>
  <c r="D65" i="58"/>
  <c r="D64" i="58"/>
  <c r="D62" i="58"/>
  <c r="E41" i="58"/>
  <c r="D63" i="58"/>
  <c r="D56" i="58"/>
  <c r="D53" i="58"/>
  <c r="E42" i="58"/>
  <c r="D37" i="58"/>
  <c r="D55" i="58" s="1"/>
  <c r="D24" i="58"/>
  <c r="D26" i="58" s="1"/>
  <c r="E17" i="58"/>
  <c r="E19" i="58" s="1"/>
  <c r="E20" i="58" s="1"/>
  <c r="E21" i="58" s="1"/>
  <c r="D56" i="56"/>
  <c r="D66" i="60" l="1"/>
  <c r="D73" i="60" s="1"/>
  <c r="D75" i="60" s="1"/>
  <c r="D57" i="60"/>
  <c r="E39" i="60"/>
  <c r="E41" i="60"/>
  <c r="E39" i="58"/>
  <c r="D66" i="58"/>
  <c r="D73" i="58" s="1"/>
  <c r="D75" i="58" s="1"/>
  <c r="D57" i="58"/>
  <c r="E44" i="60" l="1"/>
  <c r="E48" i="60" s="1"/>
  <c r="E44" i="58"/>
  <c r="E48" i="58" s="1"/>
  <c r="E54" i="58" l="1"/>
  <c r="E24" i="58"/>
  <c r="E25" i="58"/>
  <c r="E55" i="58"/>
  <c r="E85" i="58"/>
  <c r="E56" i="58"/>
  <c r="E53" i="58"/>
  <c r="E52" i="58"/>
  <c r="E26" i="58" l="1"/>
  <c r="E33" i="58" s="1"/>
  <c r="E57" i="58"/>
  <c r="E87" i="58" s="1"/>
  <c r="E34" i="58" l="1"/>
  <c r="E35" i="58"/>
  <c r="E46" i="58"/>
  <c r="E29" i="58"/>
  <c r="E36" i="58"/>
  <c r="E32" i="58"/>
  <c r="E31" i="58"/>
  <c r="E30" i="58"/>
  <c r="E37" i="58" l="1"/>
  <c r="E47" i="58" s="1"/>
  <c r="E49" i="58" s="1"/>
  <c r="E86" i="58" l="1"/>
  <c r="E18" i="56" l="1"/>
  <c r="E17" i="56"/>
  <c r="E16" i="56"/>
  <c r="E19" i="56" l="1"/>
  <c r="E20" i="56" s="1"/>
  <c r="E21" i="56" s="1"/>
  <c r="E56" i="56" l="1"/>
  <c r="D20" i="56"/>
  <c r="D98" i="56" l="1"/>
  <c r="D60" i="56"/>
  <c r="D53" i="56"/>
  <c r="E42" i="56"/>
  <c r="E44" i="56" s="1"/>
  <c r="D37" i="56"/>
  <c r="D24" i="56"/>
  <c r="D26" i="56" s="1"/>
  <c r="D55" i="56" l="1"/>
  <c r="D70" i="56"/>
  <c r="E70" i="56" s="1"/>
  <c r="E71" i="56" s="1"/>
  <c r="E48" i="56"/>
  <c r="D66" i="56"/>
  <c r="D74" i="56" s="1"/>
  <c r="D76" i="56" s="1"/>
  <c r="D57" i="56"/>
  <c r="E101" i="56" l="1"/>
  <c r="E52" i="56"/>
  <c r="E53" i="56"/>
  <c r="E54" i="56"/>
  <c r="E24" i="56"/>
  <c r="E25" i="56"/>
  <c r="E55" i="56"/>
  <c r="E26" i="56" l="1"/>
  <c r="E46" i="56" s="1"/>
  <c r="E57" i="56"/>
  <c r="E103" i="56" s="1"/>
  <c r="E31" i="56" l="1"/>
  <c r="E34" i="56"/>
  <c r="E32" i="56"/>
  <c r="E29" i="56"/>
  <c r="E36" i="56"/>
  <c r="E30" i="56"/>
  <c r="E35" i="56"/>
  <c r="E33" i="56"/>
  <c r="E37" i="56" l="1"/>
  <c r="E47" i="56" s="1"/>
  <c r="E49" i="56" s="1"/>
  <c r="E102" i="56" l="1"/>
  <c r="E79" i="61" l="1"/>
  <c r="E65" i="61" l="1"/>
  <c r="E62" i="61"/>
  <c r="E61" i="61"/>
  <c r="E64" i="61"/>
  <c r="E60" i="61"/>
  <c r="E63" i="61"/>
  <c r="E79" i="56"/>
  <c r="E78" i="60"/>
  <c r="E78" i="58"/>
  <c r="D13" i="2"/>
  <c r="D12" i="2"/>
  <c r="D11" i="2"/>
  <c r="D10" i="2"/>
  <c r="D9" i="2"/>
  <c r="D8" i="2"/>
  <c r="E82" i="60" l="1"/>
  <c r="E89" i="60" s="1"/>
  <c r="E64" i="56"/>
  <c r="E65" i="56"/>
  <c r="E61" i="56"/>
  <c r="E63" i="56"/>
  <c r="E62" i="56"/>
  <c r="E60" i="56"/>
  <c r="E82" i="58"/>
  <c r="E89" i="58" s="1"/>
  <c r="E65" i="58"/>
  <c r="E61" i="58"/>
  <c r="E64" i="58"/>
  <c r="E60" i="58"/>
  <c r="E62" i="58"/>
  <c r="E63" i="58"/>
  <c r="E66" i="61"/>
  <c r="E74" i="61" s="1"/>
  <c r="E80" i="61"/>
  <c r="E66" i="58" l="1"/>
  <c r="E73" i="58" s="1"/>
  <c r="E75" i="58" s="1"/>
  <c r="E88" i="58" s="1"/>
  <c r="E90" i="58" s="1"/>
  <c r="E80" i="56"/>
  <c r="E66" i="56"/>
  <c r="E74" i="56" s="1"/>
  <c r="E81" i="61"/>
  <c r="E83" i="61" s="1"/>
  <c r="E105" i="61" s="1"/>
  <c r="E75" i="61" l="1"/>
  <c r="E76" i="61" s="1"/>
  <c r="E91" i="58"/>
  <c r="E75" i="56"/>
  <c r="E76" i="56" s="1"/>
  <c r="E104" i="56" s="1"/>
  <c r="E81" i="56"/>
  <c r="E83" i="56" s="1"/>
  <c r="E105" i="56" s="1"/>
  <c r="E104" i="61" l="1"/>
  <c r="E106" i="61" s="1"/>
  <c r="E84" i="61"/>
  <c r="E85" i="61" s="1"/>
  <c r="E106" i="56"/>
  <c r="E84" i="56"/>
  <c r="E85" i="56" s="1"/>
  <c r="E88" i="56" s="1"/>
  <c r="E89" i="56" l="1"/>
  <c r="E90" i="56" s="1"/>
  <c r="E91" i="56" s="1"/>
  <c r="E97" i="56" s="1"/>
  <c r="E88" i="61"/>
  <c r="E93" i="56" l="1"/>
  <c r="E94" i="56"/>
  <c r="E98" i="56" s="1"/>
  <c r="E89" i="61"/>
  <c r="E90" i="61" s="1"/>
  <c r="E91" i="61" s="1"/>
  <c r="E93" i="61" s="1"/>
  <c r="E94" i="61" l="1"/>
  <c r="E97" i="61"/>
  <c r="E98" i="61" s="1"/>
  <c r="E99" i="56"/>
  <c r="E107" i="56" s="1"/>
  <c r="E108" i="56" l="1"/>
  <c r="E109" i="56" s="1"/>
  <c r="E7" i="48" s="1"/>
  <c r="F7" i="48" s="1"/>
  <c r="G7" i="48" s="1"/>
  <c r="E99" i="61"/>
  <c r="E107" i="61" s="1"/>
  <c r="E19" i="60"/>
  <c r="E20" i="60" s="1"/>
  <c r="E108" i="61" l="1"/>
  <c r="E109" i="61" s="1"/>
  <c r="E8" i="48" s="1"/>
  <c r="E21" i="60"/>
  <c r="E54" i="60" l="1"/>
  <c r="E24" i="60"/>
  <c r="E25" i="60"/>
  <c r="E85" i="60"/>
  <c r="E52" i="60"/>
  <c r="E55" i="60"/>
  <c r="E56" i="60"/>
  <c r="E53" i="60"/>
  <c r="E26" i="60" l="1"/>
  <c r="E46" i="60" s="1"/>
  <c r="E57" i="60"/>
  <c r="E87" i="60" s="1"/>
  <c r="E36" i="60"/>
  <c r="E35" i="60"/>
  <c r="E34" i="60" l="1"/>
  <c r="E30" i="60"/>
  <c r="E29" i="60"/>
  <c r="E32" i="60"/>
  <c r="E33" i="60"/>
  <c r="E31" i="60"/>
  <c r="E37" i="60" l="1"/>
  <c r="E47" i="60" s="1"/>
  <c r="E49" i="60" s="1"/>
  <c r="E86" i="60" l="1"/>
  <c r="E63" i="60"/>
  <c r="E62" i="60"/>
  <c r="E64" i="60"/>
  <c r="E61" i="60"/>
  <c r="E60" i="60"/>
  <c r="E65" i="60"/>
  <c r="E66" i="60" l="1"/>
  <c r="E73" i="60" s="1"/>
  <c r="E75" i="60" s="1"/>
  <c r="E88" i="60" s="1"/>
  <c r="E90" i="60" s="1"/>
  <c r="E91" i="60" s="1"/>
  <c r="F8" i="48" l="1"/>
  <c r="G8" i="48" l="1"/>
  <c r="G9" i="48" s="1"/>
  <c r="G11" i="48" s="1"/>
  <c r="F9" i="48"/>
  <c r="F11" i="4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300-000001000000}">
      <text>
        <r>
          <rPr>
            <b/>
            <sz val="9"/>
            <color indexed="81"/>
            <rFont val="Segoe UI"/>
            <family val="2"/>
          </rPr>
          <t>João Vitor Rodrigues de Souza:</t>
        </r>
        <r>
          <rPr>
            <sz val="9"/>
            <color indexed="81"/>
            <rFont val="Segoe UI"/>
            <family val="2"/>
          </rPr>
          <t xml:space="preserve">
Calculado sobre o salário minimo.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400-000001000000}">
      <text>
        <r>
          <rPr>
            <b/>
            <sz val="9"/>
            <color indexed="81"/>
            <rFont val="Segoe UI"/>
            <family val="2"/>
          </rPr>
          <t>João Vitor Rodrigues de Souza:</t>
        </r>
        <r>
          <rPr>
            <sz val="9"/>
            <color indexed="81"/>
            <rFont val="Segoe UI"/>
            <family val="2"/>
          </rPr>
          <t xml:space="preserve">
Calculado sobre o salário minimo. 
</t>
        </r>
      </text>
    </comment>
    <comment ref="D18" authorId="0" shapeId="0" xr:uid="{00000000-0006-0000-0400-000002000000}">
      <text>
        <r>
          <rPr>
            <b/>
            <sz val="9"/>
            <color indexed="81"/>
            <rFont val="Segoe UI"/>
            <family val="2"/>
          </rPr>
          <t>João Vitor Rodrigues de Souza:</t>
        </r>
        <r>
          <rPr>
            <sz val="9"/>
            <color indexed="81"/>
            <rFont val="Segoe UI"/>
            <family val="2"/>
          </rPr>
          <t xml:space="preserve">
MEDIA ARITIMETICA:
365 DIAS / 12 MESES =30,42 DIAS DE TRABALHO MENSAL
30,42 DIAS / 2 VIGILANTES POR MÊS = 15,21 DIAS
</t>
        </r>
      </text>
    </comment>
  </commentList>
</comments>
</file>

<file path=xl/sharedStrings.xml><?xml version="1.0" encoding="utf-8"?>
<sst xmlns="http://schemas.openxmlformats.org/spreadsheetml/2006/main" count="892" uniqueCount="283">
  <si>
    <t>A</t>
  </si>
  <si>
    <t>Data de apresentação da proposta (mês/ano)</t>
  </si>
  <si>
    <t>B</t>
  </si>
  <si>
    <t>C</t>
  </si>
  <si>
    <t>Ano Acordo, Convenção ou Sentença Normativa em Dissídio Coletivo</t>
  </si>
  <si>
    <t>D</t>
  </si>
  <si>
    <t>Identificação do Serviço</t>
  </si>
  <si>
    <t>Anexo III-A –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</si>
  <si>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</si>
  <si>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</si>
  <si>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</si>
  <si>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</si>
  <si>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</si>
  <si>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</si>
  <si>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</si>
  <si>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</si>
  <si>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Adicional Noturno</t>
  </si>
  <si>
    <t>E</t>
  </si>
  <si>
    <t>F</t>
  </si>
  <si>
    <t>G</t>
  </si>
  <si>
    <t>TOTAL DA REMUNERAÇÃO</t>
  </si>
  <si>
    <t>TOTAL DE BENEFÍCIOS MENSAIS E DIÁRIOS</t>
  </si>
  <si>
    <t>4.1</t>
  </si>
  <si>
    <t>Encargos previdenciários e FGTS</t>
  </si>
  <si>
    <t>H</t>
  </si>
  <si>
    <t>TOTAL</t>
  </si>
  <si>
    <t>4.2</t>
  </si>
  <si>
    <t>13 º Salário</t>
  </si>
  <si>
    <t>Provisão para Rescisão</t>
  </si>
  <si>
    <t>Aviso prévio trabalhado</t>
  </si>
  <si>
    <t>Módulo 4 – Encargos sociais e trabalhistas</t>
  </si>
  <si>
    <t>TOTAL DOS ENCARGOS SOCIAIS E TRABALHISTAS</t>
  </si>
  <si>
    <t>Custos Indiretos, Tributos e Lucro</t>
  </si>
  <si>
    <t>Custos Indiretos</t>
  </si>
  <si>
    <t>Lucro (MT + M5.A)</t>
  </si>
  <si>
    <t>Tributos</t>
  </si>
  <si>
    <t>C1. Tributos Federais</t>
  </si>
  <si>
    <t>C.2 Tributos Estaduais (especificar)</t>
  </si>
  <si>
    <t xml:space="preserve">C.3 Tributos Municipais </t>
  </si>
  <si>
    <t>TOTAL DOS TRIBUTOS</t>
  </si>
  <si>
    <t>TOTAL DOS CUSTOS INDIRETOS, TRIBUTOS E LUCRO</t>
  </si>
  <si>
    <t>Mão-de-obra vinculada à execução contratual (valor por empregado)</t>
  </si>
  <si>
    <t>Módulo 1 – Composição da Remuneração</t>
  </si>
  <si>
    <t>Subtotal (A + B +C+ D)</t>
  </si>
  <si>
    <t>VALOR TOTAL POR EMPREGADO</t>
  </si>
  <si>
    <t>Subtotal  para   efeito  de  cálculo  do s Tributos  (MT + MA + MB) FATURAMENTO [(100-8,65)/100]</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</si>
  <si>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</si>
  <si>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</si>
  <si>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</si>
  <si>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</si>
  <si>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</si>
  <si>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</si>
  <si>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</si>
  <si>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</si>
  <si>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</si>
  <si>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</si>
  <si>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</si>
  <si>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</si>
  <si>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</si>
  <si>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</si>
  <si>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</si>
  <si>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</si>
  <si>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</si>
  <si>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</si>
  <si>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</si>
  <si>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</si>
  <si>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</si>
  <si>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</si>
  <si>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</si>
  <si>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</si>
  <si>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</si>
  <si>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</si>
  <si>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</si>
  <si>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</si>
  <si>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</si>
  <si>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</si>
  <si>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</si>
  <si>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</si>
  <si>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</si>
  <si>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</si>
  <si>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</si>
  <si>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</si>
  <si>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</si>
  <si>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</si>
  <si>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</si>
  <si>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</si>
  <si>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</si>
  <si>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</si>
  <si>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</si>
  <si>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</si>
  <si>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</si>
  <si>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</si>
  <si>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</si>
  <si>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</si>
  <si>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</si>
  <si>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</si>
  <si>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</si>
  <si>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</si>
  <si>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</si>
  <si>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</si>
  <si>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</si>
  <si>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</si>
  <si>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</si>
  <si>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</si>
  <si>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</si>
  <si>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</si>
  <si>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</si>
  <si>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</si>
  <si>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</si>
  <si>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</si>
  <si>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</si>
  <si>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</si>
  <si>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</si>
  <si>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</si>
  <si>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</si>
  <si>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</si>
  <si>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</si>
  <si>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</si>
  <si>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</si>
  <si>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</si>
  <si>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</si>
  <si>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</si>
  <si>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</si>
  <si>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</si>
  <si>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</si>
  <si>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</si>
  <si>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ESPECIFICAÇÃO</t>
  </si>
  <si>
    <t>ITEM</t>
  </si>
  <si>
    <t>UND</t>
  </si>
  <si>
    <t>Descrição</t>
  </si>
  <si>
    <t>Quant.</t>
  </si>
  <si>
    <t>Valor Unit.</t>
  </si>
  <si>
    <t>Custo Mensal</t>
  </si>
  <si>
    <t>Posto Diurno em escala 12x36</t>
  </si>
  <si>
    <t>Posto Noturno em escala 12x36</t>
  </si>
  <si>
    <t>Valor Total (12 meses)</t>
  </si>
  <si>
    <t>Serviços de Vigilância/ Segurança Patrimonial Armada</t>
  </si>
  <si>
    <r>
      <t>N</t>
    </r>
    <r>
      <rPr>
        <strike/>
        <sz val="10"/>
        <rFont val="Calibri"/>
        <family val="2"/>
        <scheme val="minor"/>
      </rPr>
      <t>º</t>
    </r>
    <r>
      <rPr>
        <sz val="10"/>
        <rFont val="Calibri"/>
        <family val="2"/>
        <scheme val="minor"/>
      </rPr>
      <t xml:space="preserve"> de meses de execução contratual</t>
    </r>
  </si>
  <si>
    <t>2.1</t>
  </si>
  <si>
    <t>DÉCIMO TERCEIRO SALÁRIO, FÉRIAS E ADICIONAL DE FÉRIAS</t>
  </si>
  <si>
    <t>Férias (8,33%) e Adicional de Férias (TR x 2,78%)</t>
  </si>
  <si>
    <t xml:space="preserve">Base de cálculo: De acordo com a instrução normativa nº 05/2017 anexo VII nota 3, a base de cálculo neste módulo deverá ser a soma: MÓDULO 1 + SUBMÓDULO 2.1. </t>
  </si>
  <si>
    <t>2.2</t>
  </si>
  <si>
    <t>Inss</t>
  </si>
  <si>
    <t>Sesi ou Sesc</t>
  </si>
  <si>
    <r>
      <rPr>
        <b/>
        <sz val="10"/>
        <rFont val="Calibri"/>
        <family val="2"/>
        <scheme val="minor"/>
      </rPr>
      <t>Senai ou Senac</t>
    </r>
    <r>
      <rPr>
        <sz val="10"/>
        <rFont val="Calibri"/>
        <family val="2"/>
        <scheme val="minor"/>
      </rPr>
      <t xml:space="preserve"> </t>
    </r>
  </si>
  <si>
    <t xml:space="preserve">Incra </t>
  </si>
  <si>
    <r>
      <rPr>
        <b/>
        <sz val="10"/>
        <rFont val="Calibri"/>
        <family val="2"/>
        <scheme val="minor"/>
      </rPr>
      <t>Salário Educação</t>
    </r>
    <r>
      <rPr>
        <sz val="10"/>
        <rFont val="Calibri"/>
        <family val="2"/>
        <scheme val="minor"/>
      </rPr>
      <t xml:space="preserve"> </t>
    </r>
  </si>
  <si>
    <t xml:space="preserve">Fgts </t>
  </si>
  <si>
    <t>RAT X SAT (Conforme GFIP)</t>
  </si>
  <si>
    <t xml:space="preserve">Sebrae </t>
  </si>
  <si>
    <t>2.3</t>
  </si>
  <si>
    <t xml:space="preserve">BENEFÍCIOS MENSAIS E DIÁRIOS </t>
  </si>
  <si>
    <t xml:space="preserve">Transporte </t>
  </si>
  <si>
    <t xml:space="preserve">Auxílio alimentação </t>
  </si>
  <si>
    <t>Assistência médica e familiar</t>
  </si>
  <si>
    <t xml:space="preserve"> Quadro-resumo do módulo 2-ENCARGOS E BENEFÍCIOS ANUAIS, MENSAIS E DIÁRIOS</t>
  </si>
  <si>
    <t>13º SALÁRIO, FÉRIAS E ADICIONAL DE FÉRIAS</t>
  </si>
  <si>
    <t>GPS, FGTS E OUTRAS CONTRIBUIÇÕES</t>
  </si>
  <si>
    <t>BENEFÍCIOS DIÁRIOS E MENSAIS</t>
  </si>
  <si>
    <t xml:space="preserve"> MÓDULO 3: PROVISÃO PARA RESCISÃO</t>
  </si>
  <si>
    <t>3.0</t>
  </si>
  <si>
    <t>Aviso Prévio Indenizado</t>
  </si>
  <si>
    <t>Incidência do FGTS sobre Aviso Prévio Indenizado</t>
  </si>
  <si>
    <t>Incidência dos encargos do submódulo 2.2 sobre Aviso Prévio Trabalhado</t>
  </si>
  <si>
    <t>MÓDULO 4 – CUSTO DE REPOSIÇÃO DO PROFISSIONAL AUSENTE</t>
  </si>
  <si>
    <t>Submódulo 4.1 - Ausências Legais</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</si>
  <si>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</si>
  <si>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</si>
  <si>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</si>
  <si>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</si>
  <si>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</si>
  <si>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TOTAL DO SUBMÓDULO 4.1</t>
  </si>
  <si>
    <t>Submódulo 4.2 - Intrajornada</t>
  </si>
  <si>
    <t>Intervalo para Repouso ou Alimentação</t>
  </si>
  <si>
    <t xml:space="preserve"> QUADRO-RESUMO DO MÓDULO 4 - CUSTO DE REPOSIÇÃO DO PROFISSIONAL AUSENTE</t>
  </si>
  <si>
    <t>TOTAL DO MÓDULO 4</t>
  </si>
  <si>
    <t xml:space="preserve"> MÓDULO 5 – INSUMOS DIVERSOS</t>
  </si>
  <si>
    <t>INSUMOS DIVERSOS</t>
  </si>
  <si>
    <t>Uniformes e EPIs</t>
  </si>
  <si>
    <t>Materiais</t>
  </si>
  <si>
    <t>Equipamentos</t>
  </si>
  <si>
    <t>TOTAL DO MÓDULO 5</t>
  </si>
  <si>
    <t xml:space="preserve">MÓDULO 6 – CUSTOS INDIRETOS, TRIBUTOS E LUCRO </t>
  </si>
  <si>
    <t>Módulo 2 – Encargos e Benefícios Anuais, Mensais e Diários</t>
  </si>
  <si>
    <t>Módulo 3 – Provisão para Rescisão</t>
  </si>
  <si>
    <t>Módulo 4 – Custo de Reposição do Profissional Ausente</t>
  </si>
  <si>
    <t>Módulo 5 – Insumos Diversos</t>
  </si>
  <si>
    <t>SERVIÇO DE VIGILÂNCIA</t>
  </si>
  <si>
    <t>Cesta básica</t>
  </si>
  <si>
    <t>Sapato</t>
  </si>
  <si>
    <t>Cinto de Nylon</t>
  </si>
  <si>
    <t>Meias</t>
  </si>
  <si>
    <t>Crachá</t>
  </si>
  <si>
    <t>Distintivo tipo broche</t>
  </si>
  <si>
    <t>Quepe</t>
  </si>
  <si>
    <t>Livro de ocorrências</t>
  </si>
  <si>
    <t>Cassetete</t>
  </si>
  <si>
    <t xml:space="preserve">Porta-cassetete </t>
  </si>
  <si>
    <t>Apito</t>
  </si>
  <si>
    <t>Cordão de apito</t>
  </si>
  <si>
    <t>Rádio transmissor</t>
  </si>
  <si>
    <t>Revólver calibre 38</t>
  </si>
  <si>
    <t>Cinturão para revólver</t>
  </si>
  <si>
    <t>Coldre</t>
  </si>
  <si>
    <t>Munição calibre 38</t>
  </si>
  <si>
    <t>Arma não letal à base de óleos vegetais, de graduação alimentícia</t>
  </si>
  <si>
    <t>Colete à prova de balas</t>
  </si>
  <si>
    <t>Capa para colete balístico</t>
  </si>
  <si>
    <t>Lanterna recarregável</t>
  </si>
  <si>
    <t xml:space="preserve">MATERIAIS </t>
  </si>
  <si>
    <t>EQUIPAMENTOS - VIGILANTE ARMADO</t>
  </si>
  <si>
    <t>Vida Útil (meses)*</t>
  </si>
  <si>
    <t>Valor Mensal do Posto Diurno (DESARMADO)</t>
  </si>
  <si>
    <t>QTD</t>
  </si>
  <si>
    <t>VALOR UNT (MENSAL) POSTO</t>
  </si>
  <si>
    <t>VALOR TOTAL (MENSAL) DO POSTO</t>
  </si>
  <si>
    <t>VALOR TOTAL (ANUAL) DO POSTO</t>
  </si>
  <si>
    <t>ESTIMATIVA TOTAL</t>
  </si>
  <si>
    <t xml:space="preserve">Serviço de vigilância </t>
  </si>
  <si>
    <t>-</t>
  </si>
  <si>
    <t>Adicional de Insalubridade</t>
  </si>
  <si>
    <t>* Considerando que nem todas as cidades do interior possuem transporte coletivo, fora utilizado o valor da tarifa de ônibus da capital para que esse item não restasse zerado na planilha estimativa desta SESAU, em decorrência das opções que poderão ser concedidas ao empregado, tais como ajuda de custo para quem tem veículo próprio.</t>
  </si>
  <si>
    <t>CLÁUSULA 44ª CCT</t>
  </si>
  <si>
    <t>CLAÚSULA 23ª DA CCT</t>
  </si>
  <si>
    <t>Saúde e Segurança do Trabalhador (SESMT)</t>
  </si>
  <si>
    <t xml:space="preserve">C1-A  (PIS 0,65%)   </t>
  </si>
  <si>
    <t>C1. B  (COFINS 3,0%)</t>
  </si>
  <si>
    <t>SUBTOTAL</t>
  </si>
  <si>
    <t>Multa sobre FGTS e Contribuição Social sobre o Aviso Prévio Indenizado e sobre o Aviso Prévio Trabalhado. (Alterado Conf. Lei nº 13.932/2019)</t>
  </si>
  <si>
    <t>SESMT (cláusula 36ª CCT)</t>
  </si>
  <si>
    <t>QUADRO RESUMO DO CUSTO POR EMPREGADO</t>
  </si>
  <si>
    <t>Despesas com vigilante parcial p/ hora intrajornada (1.497,22/220=6,81)*15 dias</t>
  </si>
  <si>
    <t>Adicional de Periculosidade Horista</t>
  </si>
  <si>
    <t>DSR Sobre o Vencimento</t>
  </si>
  <si>
    <t>Auxílio alimentação Vigilante Parcial</t>
  </si>
  <si>
    <t>Transporte Vigilante Parcial</t>
  </si>
  <si>
    <t>Cesta básica Vigilane Parcial  (((salário hor*16%)-(sal hor*1%))/12)</t>
  </si>
  <si>
    <t xml:space="preserve">Substituto na Cobertura de Férias </t>
  </si>
  <si>
    <t xml:space="preserve"> Adicional de Férias (TR x 2,78%)</t>
  </si>
  <si>
    <t>5,96 dias/ano IBGE. (5,96 dias/30 dias) x (1/12 meses) = 0,0166 = 1,66%</t>
  </si>
  <si>
    <t xml:space="preserve">  Vigilância: (5 dias/30dias) x (1/12 meses) x 6,24% taxa de fecundidade x 95,04% participação masculina = 0,08%</t>
  </si>
  <si>
    <t>1 falta/ano. (1 dia/30 dias) x (1/12 meses) = 0,0028 = 0,28%</t>
  </si>
  <si>
    <t>(0,91 dias / 30 dias)x(1/12 meses) = 0,0025 = 0,25%</t>
  </si>
  <si>
    <t>reciclagem (7 dias /30dias) x ( 1 / 24 meses )</t>
  </si>
  <si>
    <t>CLAÚSULA 36ª DA CCT</t>
  </si>
  <si>
    <t>VALOR TOTAL POR POSTO</t>
  </si>
  <si>
    <t>VIGILANTE PARCIAL - HORISTA DIURNO</t>
  </si>
  <si>
    <t>VIGILANTE PARCIAL - HORISTA NOTURNO</t>
  </si>
  <si>
    <t>CLÁUSULA 15ª CCT</t>
  </si>
  <si>
    <t>Seguro de vida, Invalidez e Auxilio Funeral</t>
  </si>
  <si>
    <t>Outros  (Substituo para reciclagem)</t>
  </si>
  <si>
    <t>xxxx/2022</t>
  </si>
  <si>
    <t xml:space="preserve"> Valor Total:</t>
  </si>
  <si>
    <t>Contratação de empresa para prestação de serviços de vigilância armada com seus respectivos insumos, acessórios e equipamentos necessários ao bom desempenho da atividade, de forma a atender as necessidades de proteção e segurança no ambiente da Central de Abastecimento do Estado de Rondônia - CEARO , de forma continua por um período de 12 (doze)  meses.</t>
  </si>
  <si>
    <t>Uniformes - Por Vigilante para 12 Meses</t>
  </si>
  <si>
    <t>Jaqueta (Japona)</t>
  </si>
  <si>
    <t>Capa de Chuva</t>
  </si>
  <si>
    <t>Despesas com vigilante parcial p/ hora intrajornada (1.497,22/220=6,81)*15,21 dias</t>
  </si>
  <si>
    <t xml:space="preserve">Senai ou Senac </t>
  </si>
  <si>
    <t xml:space="preserve">Salário Educação </t>
  </si>
  <si>
    <t>(M-T)      CUSTO TOTAL DA PLANILHA PARA EFEITO DE CÁLCULO DO MÓDULO 6 (M1+M2+M3+M4+M5)</t>
  </si>
  <si>
    <t>Módulo 6 – Custos indiretos, tributos e lucro</t>
  </si>
  <si>
    <t>Outros  (Substituto para reciclagem)</t>
  </si>
  <si>
    <t xml:space="preserve">Intervalo para Repouso ou Alimentação </t>
  </si>
  <si>
    <t>PLANILHA DE CUSTOS E FORMAÇÃO DE PREÇOS</t>
  </si>
  <si>
    <t xml:space="preserve">C3-A (ISS 5,00%) </t>
  </si>
  <si>
    <t>VIGILANTE - DIURNO (ARMADO)</t>
  </si>
  <si>
    <t>VIGILANTE - NOTURNO (ARMADO)</t>
  </si>
  <si>
    <t>Calça</t>
  </si>
  <si>
    <t>Assistência médica/odontológica</t>
  </si>
  <si>
    <t>VIGILÂNCIA</t>
  </si>
  <si>
    <t>OBJETO:  Contratação de empresa especializada para prestação continuada de serviços de vigilância patrimonial armada, a serem executados nas dependências do aeródromo de Ji-Paraná, para atender a demanda da Coordenadoria de Infraestrutura Aeroportuária do DER/RO</t>
  </si>
  <si>
    <t>Camisa Manga Comprida</t>
  </si>
  <si>
    <t>Camisa Manga Curta</t>
  </si>
  <si>
    <t>Motocicleta com no mínimo 110cc, ano de fabricação a partir de 2020</t>
  </si>
  <si>
    <t>Gasolina para motocicleta (Litros)</t>
  </si>
  <si>
    <t>Valor Total</t>
  </si>
  <si>
    <t>Manutenção da motocicleta (Km)</t>
  </si>
  <si>
    <t>Incidência dos encargos previdênciários sobre a indenização pelo intervalo intrajornada</t>
  </si>
  <si>
    <t>OBS: Valor tratado para ajuda de custo</t>
  </si>
  <si>
    <t>SETEMBRO/2024</t>
  </si>
  <si>
    <t>RO000062/2024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</si>
</sst>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quot;R$&quot;\ #,##0.00"/>
    <numFmt numFmtId="167" formatCode="[$R$ -416]#,##0.00"/>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sz val="12"/>
      <name val="Calibri"/>
      <family val="2"/>
      <scheme val="minor"/>
    </font>
    <font>
      <b/>
      <sz val="12"/>
      <name val="Calibri"/>
      <family val="2"/>
      <scheme val="minor"/>
    </font>
    <font>
      <b/>
      <sz val="16"/>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1"/>
      <name val="Times New Roman"/>
      <family val="1"/>
    </font>
    <font>
      <sz val="14"/>
      <name val="Calibri"/>
      <family val="2"/>
      <scheme val="minor"/>
    </font>
    <font>
      <b/>
      <sz val="10"/>
      <name val="Calibri"/>
      <family val="2"/>
      <scheme val="minor"/>
    </font>
    <font>
      <sz val="10"/>
      <name val="Calibri"/>
      <family val="2"/>
      <scheme val="minor"/>
    </font>
    <font>
      <strike/>
      <sz val="10"/>
      <name val="Calibri"/>
      <family val="2"/>
      <scheme val="minor"/>
    </font>
    <font>
      <b/>
      <sz val="10"/>
      <color rgb="FFFF0000"/>
      <name val="Calibri"/>
      <family val="2"/>
      <scheme val="minor"/>
    </font>
    <font>
      <b/>
      <sz val="14"/>
      <color theme="1"/>
      <name val="Calibri"/>
      <family val="2"/>
      <scheme val="minor"/>
    </font>
    <font>
      <b/>
      <sz val="10"/>
      <color theme="1"/>
      <name val="Calibri"/>
      <family val="2"/>
    </font>
    <font>
      <sz val="11"/>
      <name val="Calibri"/>
      <family val="2"/>
    </font>
    <font>
      <b/>
      <sz val="10"/>
      <color theme="1"/>
      <name val="Calibri"/>
      <family val="2"/>
      <scheme val="minor"/>
    </font>
    <font>
      <b/>
      <sz val="10"/>
      <color theme="1"/>
      <name val="Calibri"/>
      <family val="2"/>
    </font>
    <font>
      <sz val="10"/>
      <color theme="1"/>
      <name val="Calibri"/>
      <family val="2"/>
    </font>
    <font>
      <sz val="9"/>
      <color indexed="81"/>
      <name val="Segoe UI"/>
      <family val="2"/>
    </font>
    <font>
      <b/>
      <sz val="9"/>
      <color indexed="81"/>
      <name val="Segoe UI"/>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theme="0"/>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top style="medium">
        <color indexed="64"/>
      </top>
      <bottom/>
      <diagonal/>
    </border>
    <border>
      <left/>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style="thin">
        <color indexed="64"/>
      </top>
      <bottom/>
      <diagonal/>
    </border>
    <border>
      <left/>
      <right style="thin">
        <color indexed="64"/>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9" fontId="3" fillId="0" borderId="0" applyFont="0" applyFill="0" applyBorder="0" applyAlignment="0" applyProtection="0"/>
  </cellStyleXfs>
  <cellXfs count="337">
    <xf numFmtId="0" fontId="0" fillId="0" borderId="0" xfId="0"/>
    <xf numFmtId="0" fontId="5" fillId="2" borderId="14" xfId="0" applyFont="1" applyFill="1" applyBorder="1" applyAlignment="1">
      <alignment wrapText="1"/>
    </xf>
    <xf numFmtId="0" fontId="5" fillId="2" borderId="15" xfId="0" applyFont="1" applyFill="1" applyBorder="1" applyAlignment="1">
      <alignment horizontal="center" wrapText="1"/>
    </xf>
    <xf numFmtId="0" fontId="7" fillId="0" borderId="0" xfId="0" applyFont="1" applyAlignment="1">
      <alignment horizontal="justify"/>
    </xf>
    <xf numFmtId="0" fontId="8" fillId="2" borderId="15" xfId="0" applyFont="1" applyFill="1" applyBorder="1" applyAlignment="1">
      <alignment horizontal="justify" wrapText="1"/>
    </xf>
    <xf numFmtId="0" fontId="10" fillId="0" borderId="0" xfId="0" applyFont="1" applyAlignment="1">
      <alignment horizontal="justify" wrapText="1"/>
    </xf>
    <xf numFmtId="0" fontId="11" fillId="2" borderId="15" xfId="0" applyFont="1" applyFill="1" applyBorder="1" applyAlignment="1">
      <alignment horizontal="center" wrapText="1"/>
    </xf>
    <xf numFmtId="0" fontId="8" fillId="2" borderId="15" xfId="0" applyFont="1" applyFill="1" applyBorder="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4" xfId="0" applyBorder="1"/>
    <xf numFmtId="0" fontId="8" fillId="2" borderId="16" xfId="0" applyFont="1" applyFill="1" applyBorder="1" applyAlignment="1">
      <alignment horizontal="center" wrapText="1"/>
    </xf>
    <xf numFmtId="0" fontId="0" fillId="0" borderId="15" xfId="0" applyBorder="1"/>
    <xf numFmtId="0" fontId="0" fillId="0" borderId="15" xfId="0" applyBorder="1" applyAlignment="1">
      <alignment horizontal="center"/>
    </xf>
    <xf numFmtId="0" fontId="0" fillId="3" borderId="15" xfId="0" applyFill="1" applyBorder="1"/>
    <xf numFmtId="0" fontId="0" fillId="3" borderId="15" xfId="0" applyFill="1" applyBorder="1" applyAlignment="1">
      <alignment horizontal="center"/>
    </xf>
    <xf numFmtId="0" fontId="0" fillId="0" borderId="16" xfId="0" applyBorder="1"/>
    <xf numFmtId="0" fontId="4" fillId="0" borderId="0" xfId="6" applyAlignment="1" applyProtection="1"/>
    <xf numFmtId="0" fontId="15" fillId="0" borderId="0" xfId="0" applyFont="1" applyAlignment="1">
      <alignment horizontal="center" wrapText="1"/>
    </xf>
    <xf numFmtId="0" fontId="2" fillId="0" borderId="0" xfId="0" applyFont="1"/>
    <xf numFmtId="0" fontId="7" fillId="0" borderId="0" xfId="0" applyFont="1"/>
    <xf numFmtId="0" fontId="17" fillId="0" borderId="17" xfId="0" applyFont="1" applyBorder="1" applyAlignment="1">
      <alignment horizontal="center" vertical="center" wrapText="1"/>
    </xf>
    <xf numFmtId="0" fontId="18" fillId="0" borderId="18"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2"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21" xfId="0" applyFont="1" applyBorder="1" applyAlignment="1">
      <alignment horizontal="justify" vertical="center" wrapText="1"/>
    </xf>
    <xf numFmtId="0" fontId="22"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horizontal="left" vertical="center"/>
    </xf>
    <xf numFmtId="43" fontId="22" fillId="0" borderId="0" xfId="7" applyFont="1" applyAlignment="1">
      <alignment horizontal="right" vertical="center"/>
    </xf>
    <xf numFmtId="43" fontId="22" fillId="0" borderId="0" xfId="7" applyFont="1" applyAlignment="1">
      <alignment vertical="center"/>
    </xf>
    <xf numFmtId="0" fontId="23" fillId="0" borderId="4" xfId="0" applyFont="1" applyBorder="1" applyAlignment="1">
      <alignment horizontal="left" vertical="center"/>
    </xf>
    <xf numFmtId="43" fontId="19" fillId="0" borderId="0" xfId="7" applyFont="1" applyFill="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left" vertical="center"/>
    </xf>
    <xf numFmtId="44" fontId="19" fillId="0" borderId="0" xfId="0" applyNumberFormat="1" applyFont="1" applyAlignment="1">
      <alignment vertical="center"/>
    </xf>
    <xf numFmtId="43" fontId="19" fillId="4" borderId="0" xfId="7" applyFont="1" applyFill="1" applyAlignment="1">
      <alignment horizontal="center" vertical="center"/>
    </xf>
    <xf numFmtId="0" fontId="19" fillId="4" borderId="0" xfId="0" applyFont="1" applyFill="1" applyAlignment="1">
      <alignment horizontal="center" vertical="center"/>
    </xf>
    <xf numFmtId="0" fontId="19" fillId="4" borderId="0" xfId="0" applyFont="1" applyFill="1" applyAlignment="1">
      <alignment vertical="center"/>
    </xf>
    <xf numFmtId="0" fontId="22" fillId="0" borderId="4" xfId="0" applyFont="1" applyBorder="1" applyAlignment="1">
      <alignment horizontal="center" vertical="center"/>
    </xf>
    <xf numFmtId="0" fontId="25" fillId="2" borderId="4" xfId="0" applyFont="1" applyFill="1" applyBorder="1" applyAlignment="1">
      <alignment horizontal="center" vertical="center"/>
    </xf>
    <xf numFmtId="0" fontId="23" fillId="0" borderId="0" xfId="0" applyFont="1" applyAlignment="1">
      <alignment horizontal="right" vertical="center"/>
    </xf>
    <xf numFmtId="166" fontId="22" fillId="0" borderId="0" xfId="7" applyNumberFormat="1" applyFont="1" applyBorder="1" applyAlignment="1">
      <alignment horizontal="center" vertical="center"/>
    </xf>
    <xf numFmtId="43" fontId="22" fillId="0" borderId="4" xfId="7" applyFont="1" applyBorder="1" applyAlignment="1">
      <alignment horizontal="right" vertical="center"/>
    </xf>
    <xf numFmtId="0" fontId="26" fillId="4" borderId="0" xfId="0" applyFont="1" applyFill="1" applyAlignment="1">
      <alignment vertical="center"/>
    </xf>
    <xf numFmtId="4" fontId="26" fillId="4" borderId="0" xfId="0" applyNumberFormat="1" applyFont="1" applyFill="1" applyAlignment="1">
      <alignment vertical="center"/>
    </xf>
    <xf numFmtId="0" fontId="26" fillId="0" borderId="0" xfId="0" applyFont="1" applyAlignment="1">
      <alignment vertical="center"/>
    </xf>
    <xf numFmtId="0" fontId="28" fillId="2" borderId="26" xfId="0" applyFont="1" applyFill="1" applyBorder="1" applyAlignment="1">
      <alignment horizontal="center" vertical="center"/>
    </xf>
    <xf numFmtId="0" fontId="28" fillId="2" borderId="4" xfId="3" applyFont="1" applyFill="1" applyBorder="1" applyAlignment="1">
      <alignment horizontal="right" vertical="center" wrapText="1"/>
    </xf>
    <xf numFmtId="4" fontId="27" fillId="2" borderId="24" xfId="5" applyNumberFormat="1" applyFont="1" applyFill="1" applyBorder="1" applyAlignment="1">
      <alignment horizontal="center" vertical="center" wrapText="1"/>
    </xf>
    <xf numFmtId="0" fontId="28" fillId="2" borderId="4" xfId="4" applyFont="1" applyFill="1" applyBorder="1" applyAlignment="1">
      <alignment horizontal="justify" vertical="top" wrapText="1"/>
    </xf>
    <xf numFmtId="0" fontId="28" fillId="2" borderId="4" xfId="4" applyFont="1" applyFill="1" applyBorder="1" applyAlignment="1">
      <alignment horizontal="justify" vertical="center" wrapText="1"/>
    </xf>
    <xf numFmtId="4" fontId="27" fillId="2" borderId="1" xfId="2" applyNumberFormat="1" applyFont="1" applyFill="1" applyBorder="1" applyAlignment="1">
      <alignment vertical="center"/>
    </xf>
    <xf numFmtId="4" fontId="27" fillId="2" borderId="2" xfId="2" applyNumberFormat="1" applyFont="1" applyFill="1" applyBorder="1" applyAlignment="1">
      <alignment vertical="center"/>
    </xf>
    <xf numFmtId="44" fontId="27" fillId="2" borderId="25" xfId="1" applyFont="1" applyFill="1" applyBorder="1" applyAlignment="1">
      <alignment horizontal="right" vertical="center" wrapText="1"/>
    </xf>
    <xf numFmtId="0" fontId="28" fillId="2" borderId="4" xfId="0" applyFont="1" applyFill="1" applyBorder="1" applyAlignment="1">
      <alignment horizontal="justify" vertical="center"/>
    </xf>
    <xf numFmtId="4" fontId="27" fillId="2" borderId="24" xfId="0" applyNumberFormat="1" applyFont="1" applyFill="1" applyBorder="1" applyAlignment="1">
      <alignment vertical="center"/>
    </xf>
    <xf numFmtId="4" fontId="27" fillId="2" borderId="24" xfId="5" applyNumberFormat="1" applyFont="1" applyFill="1" applyBorder="1" applyAlignment="1">
      <alignment vertical="center" wrapText="1"/>
    </xf>
    <xf numFmtId="0" fontId="28" fillId="2" borderId="26" xfId="0" applyFont="1" applyFill="1" applyBorder="1" applyAlignment="1">
      <alignment horizontal="center" vertical="center" wrapText="1"/>
    </xf>
    <xf numFmtId="0" fontId="28" fillId="2" borderId="4" xfId="0" applyFont="1" applyFill="1" applyBorder="1" applyAlignment="1">
      <alignment vertical="center"/>
    </xf>
    <xf numFmtId="4" fontId="27" fillId="2" borderId="24" xfId="0" applyNumberFormat="1" applyFont="1" applyFill="1" applyBorder="1" applyAlignment="1">
      <alignment horizontal="right" vertical="center"/>
    </xf>
    <xf numFmtId="4" fontId="27" fillId="2" borderId="24" xfId="0" quotePrefix="1" applyNumberFormat="1" applyFont="1" applyFill="1" applyBorder="1" applyAlignment="1">
      <alignment vertical="center"/>
    </xf>
    <xf numFmtId="0" fontId="28" fillId="2" borderId="4" xfId="0" applyFont="1" applyFill="1" applyBorder="1" applyAlignment="1">
      <alignment vertical="center" wrapText="1"/>
    </xf>
    <xf numFmtId="0" fontId="28" fillId="2" borderId="4" xfId="5" applyFont="1" applyFill="1" applyBorder="1" applyAlignment="1">
      <alignment vertical="center" wrapText="1"/>
    </xf>
    <xf numFmtId="4" fontId="27" fillId="6" borderId="24" xfId="0" applyNumberFormat="1" applyFont="1" applyFill="1" applyBorder="1" applyAlignment="1">
      <alignment vertical="center"/>
    </xf>
    <xf numFmtId="4" fontId="27" fillId="0" borderId="24" xfId="0" applyNumberFormat="1" applyFont="1" applyBorder="1" applyAlignment="1">
      <alignment vertical="center"/>
    </xf>
    <xf numFmtId="0" fontId="28" fillId="2" borderId="26" xfId="5" applyFont="1" applyFill="1" applyBorder="1" applyAlignment="1">
      <alignment horizontal="center" vertical="center" wrapText="1"/>
    </xf>
    <xf numFmtId="0" fontId="27" fillId="2" borderId="4" xfId="5" applyFont="1" applyFill="1" applyBorder="1" applyAlignment="1">
      <alignment vertical="center" wrapText="1"/>
    </xf>
    <xf numFmtId="10" fontId="27" fillId="2" borderId="4" xfId="2" applyNumberFormat="1" applyFont="1" applyFill="1" applyBorder="1" applyAlignment="1">
      <alignment vertical="center"/>
    </xf>
    <xf numFmtId="10" fontId="27" fillId="6" borderId="4" xfId="2" applyNumberFormat="1" applyFont="1" applyFill="1" applyBorder="1" applyAlignment="1">
      <alignment vertical="center"/>
    </xf>
    <xf numFmtId="0" fontId="27" fillId="2" borderId="4" xfId="0" applyFont="1" applyFill="1" applyBorder="1" applyAlignment="1">
      <alignment vertical="center"/>
    </xf>
    <xf numFmtId="0" fontId="27" fillId="2" borderId="4" xfId="0" applyFont="1" applyFill="1" applyBorder="1" applyAlignment="1">
      <alignment horizontal="justify" vertical="center"/>
    </xf>
    <xf numFmtId="0" fontId="27" fillId="2" borderId="0" xfId="0" applyFont="1" applyFill="1" applyAlignment="1">
      <alignment horizontal="justify" vertical="center"/>
    </xf>
    <xf numFmtId="0" fontId="28" fillId="0" borderId="26" xfId="5" applyFont="1" applyBorder="1" applyAlignment="1">
      <alignment horizontal="center" vertical="center" wrapText="1"/>
    </xf>
    <xf numFmtId="0" fontId="27" fillId="0" borderId="4" xfId="6" applyFont="1" applyFill="1" applyBorder="1" applyAlignment="1" applyProtection="1">
      <alignment horizontal="justify" vertical="center"/>
    </xf>
    <xf numFmtId="0" fontId="28" fillId="0" borderId="4" xfId="0" applyFont="1" applyBorder="1" applyAlignment="1">
      <alignment horizontal="justify" vertical="center"/>
    </xf>
    <xf numFmtId="10" fontId="27" fillId="0" borderId="4" xfId="2" applyNumberFormat="1" applyFont="1" applyFill="1" applyBorder="1" applyAlignment="1">
      <alignment vertical="center"/>
    </xf>
    <xf numFmtId="164" fontId="27" fillId="2" borderId="4" xfId="2" applyNumberFormat="1" applyFont="1" applyFill="1" applyBorder="1" applyAlignment="1">
      <alignment vertical="center"/>
    </xf>
    <xf numFmtId="164" fontId="27" fillId="6" borderId="4" xfId="2" applyNumberFormat="1" applyFont="1" applyFill="1" applyBorder="1" applyAlignment="1">
      <alignment vertical="center"/>
    </xf>
    <xf numFmtId="0" fontId="27" fillId="2" borderId="0" xfId="0" applyFont="1" applyFill="1" applyAlignment="1">
      <alignment vertical="center"/>
    </xf>
    <xf numFmtId="10" fontId="27" fillId="6" borderId="4" xfId="5" applyNumberFormat="1" applyFont="1" applyFill="1" applyBorder="1" applyAlignment="1">
      <alignment vertical="center" wrapText="1"/>
    </xf>
    <xf numFmtId="0" fontId="27" fillId="2" borderId="4" xfId="2" applyNumberFormat="1" applyFont="1" applyFill="1" applyBorder="1" applyAlignment="1">
      <alignment vertical="center"/>
    </xf>
    <xf numFmtId="0" fontId="28" fillId="2" borderId="1" xfId="5" applyFont="1" applyFill="1" applyBorder="1" applyAlignment="1">
      <alignment vertical="center" wrapText="1"/>
    </xf>
    <xf numFmtId="0" fontId="28" fillId="2" borderId="4" xfId="5" applyFont="1" applyFill="1" applyBorder="1" applyAlignment="1">
      <alignment vertical="center"/>
    </xf>
    <xf numFmtId="4" fontId="27" fillId="2" borderId="31" xfId="0" applyNumberFormat="1" applyFont="1" applyFill="1" applyBorder="1" applyAlignment="1">
      <alignment vertical="center"/>
    </xf>
    <xf numFmtId="43" fontId="23" fillId="0" borderId="4" xfId="7" applyFont="1" applyBorder="1" applyAlignment="1">
      <alignment vertical="center" wrapText="1"/>
    </xf>
    <xf numFmtId="166" fontId="22" fillId="0" borderId="4" xfId="7" applyNumberFormat="1" applyFont="1" applyBorder="1" applyAlignment="1">
      <alignment vertical="center"/>
    </xf>
    <xf numFmtId="0" fontId="0" fillId="0" borderId="39" xfId="0" applyBorder="1" applyAlignment="1">
      <alignment horizontal="center" vertical="center" wrapText="1"/>
    </xf>
    <xf numFmtId="0" fontId="0" fillId="0" borderId="39" xfId="0" applyBorder="1" applyAlignment="1">
      <alignment vertical="center" wrapText="1"/>
    </xf>
    <xf numFmtId="0" fontId="2"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3" xfId="0" applyBorder="1" applyAlignment="1">
      <alignment vertical="center" wrapText="1"/>
    </xf>
    <xf numFmtId="166" fontId="0" fillId="0" borderId="39" xfId="0" applyNumberFormat="1" applyBorder="1" applyAlignment="1">
      <alignment vertical="center" wrapText="1"/>
    </xf>
    <xf numFmtId="166" fontId="0" fillId="0" borderId="43" xfId="0" applyNumberFormat="1" applyBorder="1" applyAlignment="1">
      <alignment vertical="center" wrapText="1"/>
    </xf>
    <xf numFmtId="166" fontId="31" fillId="0" borderId="4" xfId="0" applyNumberFormat="1" applyFont="1" applyBorder="1" applyAlignment="1">
      <alignment vertical="center" wrapText="1"/>
    </xf>
    <xf numFmtId="166" fontId="31" fillId="7" borderId="4" xfId="0" applyNumberFormat="1" applyFont="1" applyFill="1" applyBorder="1" applyAlignment="1">
      <alignment horizontal="center" vertical="center" wrapText="1"/>
    </xf>
    <xf numFmtId="0" fontId="27" fillId="2" borderId="26" xfId="5" applyFont="1" applyFill="1" applyBorder="1" applyAlignment="1">
      <alignment horizontal="center" vertical="center" wrapText="1"/>
    </xf>
    <xf numFmtId="9" fontId="32" fillId="8" borderId="39" xfId="0" applyNumberFormat="1" applyFont="1" applyFill="1" applyBorder="1" applyAlignment="1">
      <alignment horizontal="left" vertical="center"/>
    </xf>
    <xf numFmtId="166" fontId="32" fillId="8" borderId="39" xfId="0" applyNumberFormat="1" applyFont="1" applyFill="1" applyBorder="1" applyAlignment="1">
      <alignment vertical="center"/>
    </xf>
    <xf numFmtId="167" fontId="32" fillId="8" borderId="44" xfId="0" applyNumberFormat="1" applyFont="1" applyFill="1" applyBorder="1" applyAlignment="1">
      <alignment vertical="center"/>
    </xf>
    <xf numFmtId="166" fontId="2" fillId="7" borderId="47" xfId="0" applyNumberFormat="1" applyFont="1" applyFill="1" applyBorder="1"/>
    <xf numFmtId="166" fontId="27" fillId="2" borderId="4" xfId="2" applyNumberFormat="1" applyFont="1" applyFill="1" applyBorder="1" applyAlignment="1">
      <alignment horizontal="right" vertical="center"/>
    </xf>
    <xf numFmtId="10" fontId="35" fillId="8" borderId="39" xfId="0" applyNumberFormat="1" applyFont="1" applyFill="1" applyBorder="1" applyAlignment="1">
      <alignment vertical="center"/>
    </xf>
    <xf numFmtId="2" fontId="0" fillId="0" borderId="0" xfId="0" applyNumberFormat="1"/>
    <xf numFmtId="4" fontId="27" fillId="2" borderId="4" xfId="0" quotePrefix="1" applyNumberFormat="1" applyFont="1" applyFill="1" applyBorder="1" applyAlignment="1">
      <alignment horizontal="right" vertical="center"/>
    </xf>
    <xf numFmtId="166" fontId="32" fillId="8" borderId="4" xfId="0" applyNumberFormat="1" applyFont="1" applyFill="1" applyBorder="1" applyAlignment="1">
      <alignment horizontal="right" vertical="center"/>
    </xf>
    <xf numFmtId="4" fontId="27" fillId="2" borderId="4" xfId="0" applyNumberFormat="1" applyFont="1" applyFill="1" applyBorder="1" applyAlignment="1">
      <alignment horizontal="right" vertical="center"/>
    </xf>
    <xf numFmtId="0" fontId="35" fillId="8" borderId="4" xfId="0" applyFont="1" applyFill="1" applyBorder="1" applyAlignment="1">
      <alignment horizontal="left" vertical="center"/>
    </xf>
    <xf numFmtId="10" fontId="32" fillId="8" borderId="4" xfId="0" applyNumberFormat="1" applyFont="1" applyFill="1" applyBorder="1" applyAlignment="1">
      <alignment horizontal="right" vertical="center"/>
    </xf>
    <xf numFmtId="0" fontId="28" fillId="2" borderId="1" xfId="0" applyFont="1" applyFill="1" applyBorder="1" applyAlignment="1">
      <alignment vertical="center"/>
    </xf>
    <xf numFmtId="0" fontId="3" fillId="2" borderId="0" xfId="0" applyFont="1" applyFill="1"/>
    <xf numFmtId="43" fontId="32" fillId="8" borderId="39" xfId="7" applyFont="1" applyFill="1" applyBorder="1" applyAlignment="1">
      <alignment vertical="center"/>
    </xf>
    <xf numFmtId="0" fontId="2" fillId="0" borderId="39" xfId="0" applyFont="1" applyBorder="1" applyAlignment="1">
      <alignment horizontal="center" vertical="center" wrapText="1"/>
    </xf>
    <xf numFmtId="0" fontId="2" fillId="0" borderId="43" xfId="0" applyFont="1" applyBorder="1" applyAlignment="1">
      <alignment horizontal="center" vertical="center" wrapText="1"/>
    </xf>
    <xf numFmtId="166" fontId="31" fillId="7" borderId="4" xfId="0" applyNumberFormat="1" applyFont="1" applyFill="1" applyBorder="1" applyAlignment="1">
      <alignment horizontal="right" vertical="center" wrapText="1"/>
    </xf>
    <xf numFmtId="0" fontId="23" fillId="0" borderId="4" xfId="0" applyFont="1" applyBorder="1" applyAlignment="1">
      <alignment horizontal="center" vertical="center"/>
    </xf>
    <xf numFmtId="43" fontId="23" fillId="0" borderId="4" xfId="7" applyFont="1" applyBorder="1" applyAlignment="1">
      <alignment horizontal="center" vertical="center" wrapText="1"/>
    </xf>
    <xf numFmtId="0" fontId="27" fillId="2" borderId="30" xfId="5" applyFont="1" applyFill="1" applyBorder="1" applyAlignment="1">
      <alignment horizontal="center" vertical="center" wrapText="1"/>
    </xf>
    <xf numFmtId="166" fontId="27" fillId="2" borderId="4" xfId="1" applyNumberFormat="1" applyFont="1" applyFill="1" applyBorder="1" applyAlignment="1">
      <alignment vertical="center"/>
    </xf>
    <xf numFmtId="166" fontId="2" fillId="7" borderId="11" xfId="0" applyNumberFormat="1" applyFont="1" applyFill="1" applyBorder="1"/>
    <xf numFmtId="0" fontId="28" fillId="2" borderId="3" xfId="5" applyFont="1" applyFill="1" applyBorder="1" applyAlignment="1">
      <alignment vertical="center" wrapText="1"/>
    </xf>
    <xf numFmtId="4" fontId="27" fillId="6" borderId="11" xfId="0" applyNumberFormat="1" applyFont="1" applyFill="1" applyBorder="1" applyAlignment="1">
      <alignment vertical="center"/>
    </xf>
    <xf numFmtId="9" fontId="32" fillId="8" borderId="40" xfId="0" applyNumberFormat="1" applyFont="1" applyFill="1" applyBorder="1" applyAlignment="1">
      <alignment horizontal="left" vertical="center"/>
    </xf>
    <xf numFmtId="0" fontId="27" fillId="2" borderId="4" xfId="5" applyFont="1" applyFill="1" applyBorder="1" applyAlignment="1">
      <alignment horizontal="center" vertical="center" wrapText="1"/>
    </xf>
    <xf numFmtId="0" fontId="28" fillId="2" borderId="4" xfId="0" applyFont="1" applyFill="1" applyBorder="1" applyAlignment="1">
      <alignment horizontal="center" vertical="center"/>
    </xf>
    <xf numFmtId="0" fontId="28" fillId="2" borderId="4" xfId="5" applyFont="1" applyFill="1" applyBorder="1" applyAlignment="1">
      <alignment horizontal="center" vertical="center" wrapText="1"/>
    </xf>
    <xf numFmtId="0" fontId="28" fillId="2" borderId="4" xfId="3" applyFont="1" applyFill="1" applyBorder="1" applyAlignment="1">
      <alignment horizontal="left" vertical="center" wrapText="1"/>
    </xf>
    <xf numFmtId="44" fontId="27" fillId="2" borderId="4" xfId="1" applyFont="1" applyFill="1" applyBorder="1" applyAlignment="1">
      <alignment horizontal="center" vertical="center" wrapText="1"/>
    </xf>
    <xf numFmtId="14" fontId="28" fillId="2" borderId="4" xfId="0" applyNumberFormat="1" applyFont="1" applyFill="1" applyBorder="1" applyAlignment="1">
      <alignment vertical="center"/>
    </xf>
    <xf numFmtId="0" fontId="27" fillId="2" borderId="4" xfId="5" applyFont="1" applyFill="1" applyBorder="1" applyAlignment="1">
      <alignment horizontal="left" vertical="center" wrapText="1"/>
    </xf>
    <xf numFmtId="4" fontId="27" fillId="2" borderId="4" xfId="5" applyNumberFormat="1" applyFont="1" applyFill="1" applyBorder="1" applyAlignment="1">
      <alignment horizontal="center" vertical="center" wrapText="1"/>
    </xf>
    <xf numFmtId="0" fontId="28" fillId="2" borderId="4" xfId="0" applyFont="1" applyFill="1" applyBorder="1" applyAlignment="1">
      <alignment horizontal="center" vertical="center" wrapText="1"/>
    </xf>
    <xf numFmtId="9" fontId="32" fillId="8" borderId="4" xfId="0" applyNumberFormat="1" applyFont="1" applyFill="1" applyBorder="1" applyAlignment="1">
      <alignment horizontal="left" vertical="center"/>
    </xf>
    <xf numFmtId="166" fontId="32" fillId="8" borderId="4" xfId="0" applyNumberFormat="1" applyFont="1" applyFill="1" applyBorder="1" applyAlignment="1">
      <alignment vertical="center"/>
    </xf>
    <xf numFmtId="167" fontId="32" fillId="8" borderId="4" xfId="0" applyNumberFormat="1" applyFont="1" applyFill="1" applyBorder="1" applyAlignment="1">
      <alignment vertical="center"/>
    </xf>
    <xf numFmtId="4" fontId="27" fillId="2" borderId="4" xfId="0" quotePrefix="1" applyNumberFormat="1" applyFont="1" applyFill="1" applyBorder="1" applyAlignment="1">
      <alignment vertical="center"/>
    </xf>
    <xf numFmtId="9" fontId="32" fillId="8" borderId="4" xfId="0" applyNumberFormat="1" applyFont="1" applyFill="1" applyBorder="1" applyAlignment="1">
      <alignment horizontal="center" vertical="center"/>
    </xf>
    <xf numFmtId="166" fontId="32" fillId="8" borderId="4" xfId="0" applyNumberFormat="1" applyFont="1" applyFill="1" applyBorder="1" applyAlignment="1">
      <alignment horizontal="center" vertical="center"/>
    </xf>
    <xf numFmtId="4" fontId="27" fillId="6" borderId="4" xfId="0" applyNumberFormat="1" applyFont="1" applyFill="1" applyBorder="1" applyAlignment="1">
      <alignment vertical="center"/>
    </xf>
    <xf numFmtId="4" fontId="27" fillId="2" borderId="4" xfId="0" applyNumberFormat="1" applyFont="1" applyFill="1" applyBorder="1" applyAlignment="1">
      <alignment vertical="center"/>
    </xf>
    <xf numFmtId="0" fontId="28" fillId="0" borderId="4" xfId="5" applyFont="1" applyBorder="1" applyAlignment="1">
      <alignment horizontal="center" vertical="center" wrapText="1"/>
    </xf>
    <xf numFmtId="4" fontId="27" fillId="0" borderId="4" xfId="0" applyNumberFormat="1" applyFont="1" applyBorder="1" applyAlignment="1">
      <alignment vertical="center"/>
    </xf>
    <xf numFmtId="4" fontId="27" fillId="2" borderId="4" xfId="5" applyNumberFormat="1" applyFont="1" applyFill="1" applyBorder="1" applyAlignment="1">
      <alignment vertical="center" wrapText="1"/>
    </xf>
    <xf numFmtId="10" fontId="35" fillId="8" borderId="4" xfId="0" applyNumberFormat="1" applyFont="1" applyFill="1" applyBorder="1" applyAlignment="1">
      <alignment vertical="center"/>
    </xf>
    <xf numFmtId="164" fontId="27" fillId="6" borderId="4" xfId="5" applyNumberFormat="1" applyFont="1" applyFill="1" applyBorder="1" applyAlignment="1">
      <alignment vertical="center" wrapText="1"/>
    </xf>
    <xf numFmtId="4" fontId="27" fillId="2" borderId="4" xfId="1" applyNumberFormat="1" applyFont="1" applyFill="1" applyBorder="1" applyAlignment="1">
      <alignment horizontal="right" vertical="center"/>
    </xf>
    <xf numFmtId="0" fontId="27" fillId="2" borderId="4" xfId="5" applyFont="1" applyFill="1" applyBorder="1" applyAlignment="1">
      <alignment vertical="center"/>
    </xf>
    <xf numFmtId="10" fontId="27" fillId="2" borderId="4" xfId="0" applyNumberFormat="1" applyFont="1" applyFill="1" applyBorder="1" applyAlignment="1">
      <alignment vertical="center"/>
    </xf>
    <xf numFmtId="166" fontId="2" fillId="7" borderId="4" xfId="0" applyNumberFormat="1" applyFont="1" applyFill="1" applyBorder="1"/>
    <xf numFmtId="166" fontId="32" fillId="8" borderId="1" xfId="0" applyNumberFormat="1" applyFont="1" applyFill="1" applyBorder="1" applyAlignment="1">
      <alignment vertical="center"/>
    </xf>
    <xf numFmtId="2" fontId="32" fillId="8" borderId="40" xfId="0" applyNumberFormat="1" applyFont="1" applyFill="1" applyBorder="1" applyAlignment="1">
      <alignment vertical="center"/>
    </xf>
    <xf numFmtId="2" fontId="22" fillId="0" borderId="0" xfId="0" applyNumberFormat="1" applyFont="1" applyAlignment="1">
      <alignment vertical="center"/>
    </xf>
    <xf numFmtId="2" fontId="25" fillId="2" borderId="4" xfId="0" applyNumberFormat="1" applyFont="1" applyFill="1" applyBorder="1" applyAlignment="1">
      <alignment horizontal="center" vertical="center"/>
    </xf>
    <xf numFmtId="43" fontId="19" fillId="0" borderId="4" xfId="7" applyFont="1" applyBorder="1" applyAlignment="1">
      <alignment horizontal="right" vertical="center"/>
    </xf>
    <xf numFmtId="166" fontId="19" fillId="0" borderId="4" xfId="7" applyNumberFormat="1" applyFont="1" applyBorder="1" applyAlignment="1">
      <alignment vertical="center"/>
    </xf>
    <xf numFmtId="10" fontId="28" fillId="2" borderId="4" xfId="5" applyNumberFormat="1" applyFont="1" applyFill="1" applyBorder="1" applyAlignment="1">
      <alignment vertical="center" wrapText="1"/>
    </xf>
    <xf numFmtId="0" fontId="39" fillId="0" borderId="0" xfId="0" applyFont="1"/>
    <xf numFmtId="0" fontId="7" fillId="0" borderId="0" xfId="0" applyFont="1" applyAlignment="1">
      <alignment horizontal="justify"/>
    </xf>
    <xf numFmtId="0" fontId="6" fillId="0" borderId="0" xfId="0" applyFont="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2" fillId="0" borderId="0" xfId="0" applyFont="1" applyAlignment="1">
      <alignment horizontal="justify" wrapText="1"/>
    </xf>
    <xf numFmtId="0" fontId="16" fillId="0" borderId="17" xfId="0" applyFont="1" applyBorder="1" applyAlignment="1">
      <alignment horizontal="center" vertical="center" wrapText="1"/>
    </xf>
    <xf numFmtId="0" fontId="31" fillId="7" borderId="4" xfId="0" applyFont="1" applyFill="1" applyBorder="1" applyAlignment="1">
      <alignment horizontal="center" vertical="center" wrapText="1"/>
    </xf>
    <xf numFmtId="0" fontId="31" fillId="3" borderId="12" xfId="0" applyFont="1" applyFill="1" applyBorder="1" applyAlignment="1">
      <alignment horizontal="center"/>
    </xf>
    <xf numFmtId="0" fontId="31" fillId="3" borderId="10" xfId="0" applyFont="1" applyFill="1" applyBorder="1" applyAlignment="1">
      <alignment horizontal="center"/>
    </xf>
    <xf numFmtId="0" fontId="31" fillId="3" borderId="13" xfId="0" applyFont="1" applyFill="1" applyBorder="1" applyAlignment="1">
      <alignment horizontal="center"/>
    </xf>
    <xf numFmtId="0" fontId="20" fillId="2" borderId="21" xfId="0" applyFont="1" applyFill="1" applyBorder="1" applyAlignment="1">
      <alignment horizontal="left" vertical="center" wrapText="1"/>
    </xf>
    <xf numFmtId="0" fontId="23" fillId="2" borderId="33" xfId="0" applyFont="1" applyFill="1" applyBorder="1" applyAlignment="1">
      <alignment horizontal="left" vertical="center" wrapText="1"/>
    </xf>
    <xf numFmtId="0" fontId="23" fillId="2" borderId="20" xfId="0" applyFont="1" applyFill="1" applyBorder="1" applyAlignment="1">
      <alignment horizontal="left" vertical="center" wrapText="1"/>
    </xf>
    <xf numFmtId="0" fontId="23" fillId="2" borderId="32" xfId="0" applyFont="1" applyFill="1" applyBorder="1" applyAlignment="1">
      <alignment horizontal="left" vertical="center" wrapText="1"/>
    </xf>
    <xf numFmtId="0" fontId="23" fillId="2" borderId="0" xfId="0" applyFont="1" applyFill="1" applyAlignment="1">
      <alignment horizontal="left" vertical="center" wrapText="1"/>
    </xf>
    <xf numFmtId="0" fontId="23" fillId="2" borderId="35" xfId="0" applyFont="1" applyFill="1" applyBorder="1" applyAlignment="1">
      <alignment horizontal="left" vertical="center" wrapText="1"/>
    </xf>
    <xf numFmtId="0" fontId="23" fillId="2" borderId="19"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18" xfId="0" applyFont="1" applyFill="1" applyBorder="1" applyAlignment="1">
      <alignment horizontal="left" vertical="center" wrapText="1"/>
    </xf>
    <xf numFmtId="0" fontId="31" fillId="0" borderId="4" xfId="0" applyFont="1" applyBorder="1" applyAlignment="1">
      <alignment horizontal="right" vertical="center" wrapText="1"/>
    </xf>
    <xf numFmtId="0" fontId="28" fillId="2" borderId="1" xfId="5" applyFont="1" applyFill="1" applyBorder="1" applyAlignment="1">
      <alignment horizontal="left" vertical="center" wrapText="1"/>
    </xf>
    <xf numFmtId="0" fontId="28" fillId="2" borderId="3" xfId="5" applyFont="1" applyFill="1" applyBorder="1" applyAlignment="1">
      <alignment horizontal="left" vertical="center" wrapText="1"/>
    </xf>
    <xf numFmtId="0" fontId="36" fillId="8" borderId="4" xfId="0" applyFont="1" applyFill="1" applyBorder="1" applyAlignment="1">
      <alignment horizontal="left" vertical="center" wrapText="1"/>
    </xf>
    <xf numFmtId="0" fontId="28" fillId="2" borderId="4" xfId="5" applyFont="1" applyFill="1" applyBorder="1" applyAlignment="1">
      <alignment horizontal="left" vertical="center" wrapText="1"/>
    </xf>
    <xf numFmtId="0" fontId="28" fillId="2" borderId="4" xfId="4" applyFont="1" applyFill="1" applyBorder="1" applyAlignment="1">
      <alignment horizontal="left" vertical="center" wrapText="1"/>
    </xf>
    <xf numFmtId="0" fontId="28" fillId="2" borderId="4" xfId="0" applyFont="1" applyFill="1" applyBorder="1" applyAlignment="1">
      <alignment horizontal="left" vertical="center"/>
    </xf>
    <xf numFmtId="0" fontId="27" fillId="2" borderId="4" xfId="5" applyFont="1" applyFill="1" applyBorder="1" applyAlignment="1">
      <alignment horizontal="center" vertical="center"/>
    </xf>
    <xf numFmtId="0" fontId="28" fillId="0" borderId="4" xfId="6" applyFont="1" applyFill="1" applyBorder="1" applyAlignment="1" applyProtection="1">
      <alignment horizontal="left" vertical="center"/>
    </xf>
    <xf numFmtId="0" fontId="34"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7" fillId="6" borderId="4" xfId="5" applyFont="1" applyFill="1" applyBorder="1" applyAlignment="1">
      <alignment horizontal="right" vertical="center" wrapText="1"/>
    </xf>
    <xf numFmtId="0" fontId="27" fillId="2" borderId="4" xfId="5" applyFont="1" applyFill="1" applyBorder="1" applyAlignment="1">
      <alignment horizontal="center" vertical="center" wrapText="1"/>
    </xf>
    <xf numFmtId="0" fontId="27" fillId="2" borderId="4" xfId="5" applyFont="1" applyFill="1" applyBorder="1" applyAlignment="1">
      <alignment horizontal="left" vertical="center" wrapText="1"/>
    </xf>
    <xf numFmtId="0" fontId="27" fillId="2" borderId="4" xfId="5" applyFont="1" applyFill="1" applyBorder="1" applyAlignment="1">
      <alignment horizontal="right" vertical="center" wrapText="1"/>
    </xf>
    <xf numFmtId="0" fontId="27" fillId="6" borderId="4" xfId="5" applyFont="1" applyFill="1" applyBorder="1" applyAlignment="1">
      <alignment horizontal="center" vertical="center" wrapText="1"/>
    </xf>
    <xf numFmtId="0" fontId="2" fillId="7" borderId="4" xfId="0" applyFont="1" applyFill="1" applyBorder="1" applyAlignment="1">
      <alignment horizontal="center"/>
    </xf>
    <xf numFmtId="0" fontId="27" fillId="2" borderId="4" xfId="5" applyFont="1" applyFill="1" applyBorder="1" applyAlignment="1">
      <alignment vertical="center" wrapText="1"/>
    </xf>
    <xf numFmtId="0" fontId="28" fillId="2" borderId="4" xfId="0" applyFont="1" applyFill="1" applyBorder="1" applyAlignment="1">
      <alignment horizontal="left" vertical="center" wrapText="1"/>
    </xf>
    <xf numFmtId="10" fontId="27" fillId="2" borderId="4" xfId="2" applyNumberFormat="1" applyFont="1" applyFill="1" applyBorder="1" applyAlignment="1">
      <alignment horizontal="right" vertical="center"/>
    </xf>
    <xf numFmtId="9" fontId="32" fillId="8" borderId="4" xfId="0" applyNumberFormat="1" applyFont="1" applyFill="1" applyBorder="1" applyAlignment="1">
      <alignment horizontal="left" vertical="center"/>
    </xf>
    <xf numFmtId="0" fontId="33" fillId="0" borderId="4" xfId="0" applyFont="1" applyBorder="1"/>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0" fontId="28" fillId="2" borderId="4" xfId="4" applyFont="1" applyFill="1" applyBorder="1" applyAlignment="1">
      <alignment horizontal="center" vertical="center" wrapText="1"/>
    </xf>
    <xf numFmtId="0" fontId="28" fillId="6" borderId="4" xfId="0" applyFont="1" applyFill="1" applyBorder="1" applyAlignment="1">
      <alignment horizontal="right" vertical="center" wrapText="1"/>
    </xf>
    <xf numFmtId="0" fontId="30" fillId="2" borderId="4" xfId="5" applyFont="1" applyFill="1" applyBorder="1" applyAlignment="1">
      <alignment horizontal="center" vertical="center" wrapText="1"/>
    </xf>
    <xf numFmtId="0" fontId="28" fillId="2" borderId="4" xfId="3" applyFont="1" applyFill="1" applyBorder="1" applyAlignment="1">
      <alignment horizontal="center" vertical="center" wrapText="1"/>
    </xf>
    <xf numFmtId="0" fontId="21" fillId="4" borderId="4" xfId="3" applyFont="1" applyFill="1" applyBorder="1" applyAlignment="1">
      <alignment horizontal="center" vertical="center" wrapText="1"/>
    </xf>
    <xf numFmtId="0" fontId="27" fillId="3" borderId="4" xfId="3" applyFont="1" applyFill="1" applyBorder="1" applyAlignment="1">
      <alignment horizontal="center" vertical="center"/>
    </xf>
    <xf numFmtId="49" fontId="28" fillId="2" borderId="4" xfId="3" applyNumberFormat="1" applyFont="1" applyFill="1" applyBorder="1" applyAlignment="1">
      <alignment horizontal="center" vertical="center" wrapText="1"/>
    </xf>
    <xf numFmtId="0" fontId="28" fillId="2" borderId="4" xfId="0" applyFont="1" applyFill="1" applyBorder="1" applyAlignment="1">
      <alignment horizontal="justify" vertical="center"/>
    </xf>
    <xf numFmtId="0" fontId="27" fillId="5" borderId="4" xfId="3" applyFont="1" applyFill="1" applyBorder="1" applyAlignment="1">
      <alignment horizontal="center" vertical="center"/>
    </xf>
    <xf numFmtId="0" fontId="27" fillId="2" borderId="4" xfId="3" applyFont="1" applyFill="1" applyBorder="1" applyAlignment="1">
      <alignment horizontal="center" vertical="center"/>
    </xf>
    <xf numFmtId="0" fontId="27" fillId="2" borderId="1" xfId="5" applyFont="1" applyFill="1" applyBorder="1" applyAlignment="1">
      <alignment horizontal="center" vertical="center" wrapText="1"/>
    </xf>
    <xf numFmtId="0" fontId="27" fillId="2" borderId="2" xfId="5" applyFont="1" applyFill="1" applyBorder="1" applyAlignment="1">
      <alignment horizontal="center" vertical="center" wrapText="1"/>
    </xf>
    <xf numFmtId="0" fontId="27" fillId="2" borderId="3" xfId="5" applyFont="1" applyFill="1" applyBorder="1" applyAlignment="1">
      <alignment horizontal="center" vertical="center" wrapText="1"/>
    </xf>
    <xf numFmtId="0" fontId="28" fillId="2" borderId="1" xfId="0" applyFont="1" applyFill="1" applyBorder="1" applyAlignment="1">
      <alignment horizontal="justify" vertical="center"/>
    </xf>
    <xf numFmtId="0" fontId="28" fillId="2" borderId="1" xfId="0" applyFont="1" applyFill="1" applyBorder="1" applyAlignment="1">
      <alignment horizontal="center" vertical="center"/>
    </xf>
    <xf numFmtId="0" fontId="28" fillId="2" borderId="1" xfId="3" applyFont="1" applyFill="1" applyBorder="1" applyAlignment="1">
      <alignment horizontal="center" vertical="center" wrapText="1"/>
    </xf>
    <xf numFmtId="0" fontId="28" fillId="2" borderId="2" xfId="3" applyFont="1" applyFill="1" applyBorder="1" applyAlignment="1">
      <alignment horizontal="center" vertical="center" wrapText="1"/>
    </xf>
    <xf numFmtId="0" fontId="28" fillId="2" borderId="25" xfId="3" applyFont="1" applyFill="1" applyBorder="1" applyAlignment="1">
      <alignment horizontal="center" vertical="center" wrapText="1"/>
    </xf>
    <xf numFmtId="0" fontId="21" fillId="4" borderId="12" xfId="3" applyFont="1" applyFill="1" applyBorder="1" applyAlignment="1">
      <alignment horizontal="center" vertical="center" wrapText="1"/>
    </xf>
    <xf numFmtId="0" fontId="21" fillId="4" borderId="10" xfId="3" applyFont="1" applyFill="1" applyBorder="1" applyAlignment="1">
      <alignment horizontal="center" vertical="center" wrapText="1"/>
    </xf>
    <xf numFmtId="0" fontId="21" fillId="4" borderId="13" xfId="3" applyFont="1" applyFill="1" applyBorder="1" applyAlignment="1">
      <alignment horizontal="center" vertical="center" wrapText="1"/>
    </xf>
    <xf numFmtId="0" fontId="27" fillId="2" borderId="22" xfId="3" applyFont="1" applyFill="1" applyBorder="1" applyAlignment="1">
      <alignment horizontal="center" vertical="center"/>
    </xf>
    <xf numFmtId="0" fontId="27" fillId="2" borderId="7" xfId="3" applyFont="1" applyFill="1" applyBorder="1" applyAlignment="1">
      <alignment horizontal="center" vertical="center"/>
    </xf>
    <xf numFmtId="0" fontId="27" fillId="2" borderId="29" xfId="3" applyFont="1" applyFill="1" applyBorder="1" applyAlignment="1">
      <alignment horizontal="center" vertical="center"/>
    </xf>
    <xf numFmtId="49" fontId="28" fillId="2" borderId="1" xfId="3" applyNumberFormat="1" applyFont="1" applyFill="1" applyBorder="1" applyAlignment="1">
      <alignment horizontal="center" vertical="center" wrapText="1"/>
    </xf>
    <xf numFmtId="49" fontId="28" fillId="2" borderId="2" xfId="3" applyNumberFormat="1" applyFont="1" applyFill="1" applyBorder="1" applyAlignment="1">
      <alignment horizontal="center" vertical="center" wrapText="1"/>
    </xf>
    <xf numFmtId="49" fontId="28" fillId="2" borderId="25" xfId="3" applyNumberFormat="1" applyFont="1" applyFill="1" applyBorder="1" applyAlignment="1">
      <alignment horizontal="center" vertical="center" wrapText="1"/>
    </xf>
    <xf numFmtId="14" fontId="28" fillId="2" borderId="1" xfId="0" applyNumberFormat="1" applyFont="1" applyFill="1" applyBorder="1" applyAlignment="1">
      <alignment horizontal="right" vertical="center"/>
    </xf>
    <xf numFmtId="14" fontId="28" fillId="2" borderId="2" xfId="0" applyNumberFormat="1" applyFont="1" applyFill="1" applyBorder="1" applyAlignment="1">
      <alignment horizontal="right" vertical="center"/>
    </xf>
    <xf numFmtId="14" fontId="28" fillId="2" borderId="25" xfId="0" applyNumberFormat="1" applyFont="1" applyFill="1" applyBorder="1" applyAlignment="1">
      <alignment horizontal="right" vertical="center"/>
    </xf>
    <xf numFmtId="0" fontId="27" fillId="2" borderId="23" xfId="5" applyFont="1" applyFill="1" applyBorder="1" applyAlignment="1">
      <alignment horizontal="center" vertical="center"/>
    </xf>
    <xf numFmtId="0" fontId="27" fillId="2" borderId="2" xfId="5" applyFont="1" applyFill="1" applyBorder="1" applyAlignment="1">
      <alignment horizontal="center" vertical="center"/>
    </xf>
    <xf numFmtId="0" fontId="27" fillId="2" borderId="3" xfId="5" applyFont="1" applyFill="1" applyBorder="1" applyAlignment="1">
      <alignment horizontal="center" vertical="center"/>
    </xf>
    <xf numFmtId="0" fontId="27" fillId="2" borderId="1" xfId="5" applyFont="1" applyFill="1" applyBorder="1" applyAlignment="1">
      <alignment horizontal="left" vertical="center" wrapText="1"/>
    </xf>
    <xf numFmtId="0" fontId="28" fillId="2" borderId="2" xfId="0" applyFont="1" applyFill="1" applyBorder="1" applyAlignment="1">
      <alignment horizontal="left" vertical="center" wrapText="1"/>
    </xf>
    <xf numFmtId="0" fontId="28" fillId="2" borderId="3" xfId="0" applyFont="1" applyFill="1" applyBorder="1" applyAlignment="1">
      <alignment horizontal="left" vertical="center" wrapText="1"/>
    </xf>
    <xf numFmtId="9" fontId="32" fillId="8" borderId="40" xfId="0" applyNumberFormat="1" applyFont="1" applyFill="1" applyBorder="1" applyAlignment="1">
      <alignment horizontal="left" vertical="center"/>
    </xf>
    <xf numFmtId="0" fontId="33" fillId="0" borderId="41" xfId="0" applyFont="1" applyBorder="1"/>
    <xf numFmtId="0" fontId="27" fillId="5" borderId="23" xfId="3" applyFont="1" applyFill="1" applyBorder="1" applyAlignment="1">
      <alignment horizontal="center" vertical="center"/>
    </xf>
    <xf numFmtId="0" fontId="27" fillId="5" borderId="2" xfId="3" applyFont="1" applyFill="1" applyBorder="1" applyAlignment="1">
      <alignment horizontal="center" vertical="center"/>
    </xf>
    <xf numFmtId="0" fontId="27" fillId="5" borderId="25" xfId="3" applyFont="1" applyFill="1" applyBorder="1" applyAlignment="1">
      <alignment horizontal="center" vertical="center"/>
    </xf>
    <xf numFmtId="0" fontId="27" fillId="2" borderId="27" xfId="3" applyFont="1" applyFill="1" applyBorder="1" applyAlignment="1">
      <alignment horizontal="center" vertical="center"/>
    </xf>
    <xf numFmtId="0" fontId="27" fillId="2" borderId="6" xfId="3" applyFont="1" applyFill="1" applyBorder="1" applyAlignment="1">
      <alignment horizontal="center" vertical="center"/>
    </xf>
    <xf numFmtId="0" fontId="27" fillId="2" borderId="28" xfId="3" applyFont="1" applyFill="1" applyBorder="1" applyAlignment="1">
      <alignment horizontal="center" vertical="center"/>
    </xf>
    <xf numFmtId="0" fontId="27" fillId="5" borderId="7" xfId="3" applyFont="1" applyFill="1" applyBorder="1" applyAlignment="1">
      <alignment horizontal="center" vertical="center"/>
    </xf>
    <xf numFmtId="0" fontId="27" fillId="5" borderId="29" xfId="3" applyFont="1" applyFill="1" applyBorder="1" applyAlignment="1">
      <alignment horizontal="center" vertical="center"/>
    </xf>
    <xf numFmtId="0" fontId="28" fillId="2" borderId="1" xfId="4" applyFont="1" applyFill="1" applyBorder="1" applyAlignment="1">
      <alignment horizontal="right" vertical="center" wrapText="1"/>
    </xf>
    <xf numFmtId="0" fontId="28" fillId="2" borderId="2" xfId="4" applyFont="1" applyFill="1" applyBorder="1" applyAlignment="1">
      <alignment horizontal="right" vertical="center" wrapText="1"/>
    </xf>
    <xf numFmtId="0" fontId="28" fillId="2" borderId="25" xfId="4" applyFont="1" applyFill="1" applyBorder="1" applyAlignment="1">
      <alignment horizontal="right" vertical="center" wrapText="1"/>
    </xf>
    <xf numFmtId="0" fontId="27" fillId="2" borderId="48" xfId="0" applyFont="1" applyFill="1" applyBorder="1" applyAlignment="1">
      <alignment horizontal="center" vertical="center"/>
    </xf>
    <xf numFmtId="0" fontId="28" fillId="2" borderId="0" xfId="0" applyFont="1" applyFill="1" applyAlignment="1">
      <alignment horizontal="center" vertical="center"/>
    </xf>
    <xf numFmtId="0" fontId="28" fillId="2" borderId="49" xfId="0" applyFont="1" applyFill="1" applyBorder="1" applyAlignment="1">
      <alignment horizontal="center" vertical="center"/>
    </xf>
    <xf numFmtId="0" fontId="28" fillId="2" borderId="5" xfId="0" applyFont="1" applyFill="1" applyBorder="1" applyAlignment="1">
      <alignment horizontal="center" vertical="center" wrapText="1"/>
    </xf>
    <xf numFmtId="0" fontId="28" fillId="2" borderId="55" xfId="0" applyFont="1" applyFill="1" applyBorder="1" applyAlignment="1">
      <alignment horizontal="center" vertical="center" wrapText="1"/>
    </xf>
    <xf numFmtId="0" fontId="27" fillId="6" borderId="23" xfId="5" applyFont="1" applyFill="1" applyBorder="1" applyAlignment="1">
      <alignment horizontal="right" vertical="center" wrapText="1"/>
    </xf>
    <xf numFmtId="0" fontId="27" fillId="6" borderId="2" xfId="5" applyFont="1" applyFill="1" applyBorder="1" applyAlignment="1">
      <alignment horizontal="right" vertical="center" wrapText="1"/>
    </xf>
    <xf numFmtId="0" fontId="28" fillId="6" borderId="3" xfId="0" applyFont="1" applyFill="1" applyBorder="1" applyAlignment="1">
      <alignment horizontal="right" vertical="center" wrapText="1"/>
    </xf>
    <xf numFmtId="0" fontId="27" fillId="6" borderId="3" xfId="5" applyFont="1" applyFill="1" applyBorder="1" applyAlignment="1">
      <alignment horizontal="right" vertical="center" wrapText="1"/>
    </xf>
    <xf numFmtId="0" fontId="27" fillId="5" borderId="2" xfId="5" applyFont="1" applyFill="1" applyBorder="1" applyAlignment="1">
      <alignment horizontal="center" vertical="center"/>
    </xf>
    <xf numFmtId="0" fontId="27" fillId="5" borderId="3" xfId="5" applyFont="1" applyFill="1" applyBorder="1" applyAlignment="1">
      <alignment horizontal="center" vertical="center"/>
    </xf>
    <xf numFmtId="0" fontId="30" fillId="2" borderId="23" xfId="5" applyFont="1" applyFill="1" applyBorder="1" applyAlignment="1">
      <alignment horizontal="center" vertical="center" wrapText="1"/>
    </xf>
    <xf numFmtId="0" fontId="30" fillId="2" borderId="2" xfId="5" applyFont="1" applyFill="1" applyBorder="1" applyAlignment="1">
      <alignment horizontal="center" vertical="center" wrapText="1"/>
    </xf>
    <xf numFmtId="0" fontId="30" fillId="2" borderId="25" xfId="5" applyFont="1" applyFill="1" applyBorder="1" applyAlignment="1">
      <alignment horizontal="center" vertical="center" wrapText="1"/>
    </xf>
    <xf numFmtId="0" fontId="0" fillId="0" borderId="32" xfId="0" applyBorder="1" applyAlignment="1">
      <alignment horizontal="left" vertical="top"/>
    </xf>
    <xf numFmtId="0" fontId="0" fillId="0" borderId="0" xfId="0" applyAlignment="1">
      <alignment horizontal="left" vertical="top"/>
    </xf>
    <xf numFmtId="0" fontId="27" fillId="2" borderId="5" xfId="5" applyFont="1" applyFill="1" applyBorder="1" applyAlignment="1">
      <alignment horizontal="left" vertical="center" wrapText="1"/>
    </xf>
    <xf numFmtId="0" fontId="27" fillId="2" borderId="6" xfId="5" applyFont="1" applyFill="1" applyBorder="1" applyAlignment="1">
      <alignment horizontal="left" vertical="center" wrapText="1"/>
    </xf>
    <xf numFmtId="0" fontId="27" fillId="2" borderId="38" xfId="5" applyFont="1" applyFill="1" applyBorder="1" applyAlignment="1">
      <alignment horizontal="left" vertical="center" wrapText="1"/>
    </xf>
    <xf numFmtId="0" fontId="27" fillId="6" borderId="12" xfId="5" applyFont="1" applyFill="1" applyBorder="1" applyAlignment="1">
      <alignment horizontal="left" vertical="center" wrapText="1"/>
    </xf>
    <xf numFmtId="0" fontId="27" fillId="6" borderId="10" xfId="5" applyFont="1" applyFill="1" applyBorder="1" applyAlignment="1">
      <alignment horizontal="left" vertical="center" wrapText="1"/>
    </xf>
    <xf numFmtId="0" fontId="27" fillId="6" borderId="56" xfId="5" applyFont="1" applyFill="1" applyBorder="1" applyAlignment="1">
      <alignment horizontal="left" vertical="center" wrapText="1"/>
    </xf>
    <xf numFmtId="0" fontId="2" fillId="7" borderId="9" xfId="0" applyFont="1" applyFill="1" applyBorder="1" applyAlignment="1">
      <alignment horizontal="left"/>
    </xf>
    <xf numFmtId="0" fontId="2" fillId="7" borderId="36" xfId="0" applyFont="1" applyFill="1" applyBorder="1" applyAlignment="1">
      <alignment horizontal="left"/>
    </xf>
    <xf numFmtId="0" fontId="34" fillId="0" borderId="50"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7" fillId="2" borderId="23" xfId="5" applyFont="1" applyFill="1" applyBorder="1" applyAlignment="1">
      <alignment horizontal="center" vertical="center" wrapText="1"/>
    </xf>
    <xf numFmtId="0" fontId="27" fillId="2" borderId="2" xfId="5" applyFont="1" applyFill="1" applyBorder="1" applyAlignment="1">
      <alignment horizontal="left" vertical="center" wrapText="1"/>
    </xf>
    <xf numFmtId="0" fontId="27" fillId="2" borderId="3" xfId="5" applyFont="1" applyFill="1" applyBorder="1" applyAlignment="1">
      <alignment horizontal="left" vertical="center" wrapText="1"/>
    </xf>
    <xf numFmtId="0" fontId="27" fillId="6" borderId="23" xfId="5" applyFont="1" applyFill="1" applyBorder="1" applyAlignment="1">
      <alignment horizontal="center" vertical="center" wrapText="1"/>
    </xf>
    <xf numFmtId="0" fontId="27" fillId="6" borderId="2" xfId="5" applyFont="1" applyFill="1" applyBorder="1" applyAlignment="1">
      <alignment horizontal="center" vertical="center" wrapText="1"/>
    </xf>
    <xf numFmtId="0" fontId="27" fillId="6" borderId="25" xfId="5" applyFont="1" applyFill="1" applyBorder="1" applyAlignment="1">
      <alignment horizontal="center" vertical="center" wrapText="1"/>
    </xf>
    <xf numFmtId="0" fontId="28" fillId="2" borderId="50" xfId="0" applyFont="1" applyFill="1" applyBorder="1" applyAlignment="1">
      <alignment horizontal="left" vertical="center"/>
    </xf>
    <xf numFmtId="0" fontId="28" fillId="2" borderId="7" xfId="0" applyFont="1" applyFill="1" applyBorder="1" applyAlignment="1">
      <alignment horizontal="left" vertical="center"/>
    </xf>
    <xf numFmtId="0" fontId="28" fillId="2" borderId="51" xfId="0" applyFont="1" applyFill="1" applyBorder="1" applyAlignment="1">
      <alignment horizontal="left" vertical="center"/>
    </xf>
    <xf numFmtId="0" fontId="28" fillId="2" borderId="2" xfId="5" applyFont="1" applyFill="1" applyBorder="1" applyAlignment="1">
      <alignment horizontal="left" vertical="center" wrapText="1"/>
    </xf>
    <xf numFmtId="0" fontId="27" fillId="2" borderId="1" xfId="5" applyFont="1" applyFill="1" applyBorder="1" applyAlignment="1">
      <alignment horizontal="center" vertical="center"/>
    </xf>
    <xf numFmtId="0" fontId="0" fillId="0" borderId="32" xfId="0" applyBorder="1" applyAlignment="1">
      <alignment horizontal="center"/>
    </xf>
    <xf numFmtId="0" fontId="0" fillId="0" borderId="0" xfId="0" applyAlignment="1">
      <alignment horizontal="center"/>
    </xf>
    <xf numFmtId="0" fontId="0" fillId="0" borderId="32" xfId="0" applyBorder="1" applyAlignment="1">
      <alignment horizontal="left"/>
    </xf>
    <xf numFmtId="0" fontId="0" fillId="0" borderId="0" xfId="0" applyAlignment="1">
      <alignment horizontal="left"/>
    </xf>
    <xf numFmtId="0" fontId="36" fillId="8" borderId="1" xfId="0" applyFont="1" applyFill="1" applyBorder="1" applyAlignment="1">
      <alignment horizontal="left" vertical="center" wrapText="1"/>
    </xf>
    <xf numFmtId="0" fontId="36" fillId="8" borderId="52" xfId="0" applyFont="1" applyFill="1" applyBorder="1" applyAlignment="1">
      <alignment horizontal="left" vertical="center" wrapText="1"/>
    </xf>
    <xf numFmtId="0" fontId="2" fillId="7" borderId="45" xfId="0" applyFont="1" applyFill="1" applyBorder="1" applyAlignment="1">
      <alignment horizontal="left"/>
    </xf>
    <xf numFmtId="0" fontId="2" fillId="7" borderId="46" xfId="0" applyFont="1" applyFill="1" applyBorder="1" applyAlignment="1">
      <alignment horizontal="left"/>
    </xf>
    <xf numFmtId="9" fontId="32" fillId="8" borderId="53" xfId="0" applyNumberFormat="1" applyFont="1" applyFill="1" applyBorder="1" applyAlignment="1">
      <alignment horizontal="left" vertical="center"/>
    </xf>
    <xf numFmtId="9" fontId="32" fillId="8" borderId="54" xfId="0" applyNumberFormat="1" applyFont="1" applyFill="1" applyBorder="1" applyAlignment="1">
      <alignment horizontal="left" vertical="center"/>
    </xf>
    <xf numFmtId="0" fontId="24" fillId="4" borderId="9" xfId="0" applyFont="1" applyFill="1" applyBorder="1" applyAlignment="1">
      <alignment horizontal="center" vertical="center"/>
    </xf>
    <xf numFmtId="0" fontId="24" fillId="4" borderId="36" xfId="0" applyFont="1" applyFill="1" applyBorder="1" applyAlignment="1">
      <alignment horizontal="center" vertical="center"/>
    </xf>
    <xf numFmtId="0" fontId="24" fillId="4" borderId="11" xfId="0" applyFont="1" applyFill="1" applyBorder="1" applyAlignment="1">
      <alignment horizontal="center" vertical="center"/>
    </xf>
    <xf numFmtId="0" fontId="23" fillId="0" borderId="4" xfId="0" applyFont="1" applyBorder="1" applyAlignment="1">
      <alignment horizontal="center" vertical="center"/>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43" fontId="23" fillId="0" borderId="4" xfId="7" applyFont="1" applyBorder="1" applyAlignment="1">
      <alignment horizontal="center" vertical="center" wrapText="1"/>
    </xf>
    <xf numFmtId="165" fontId="22" fillId="0" borderId="4" xfId="0" applyNumberFormat="1" applyFont="1" applyBorder="1" applyAlignment="1">
      <alignment horizontal="right" vertical="center"/>
    </xf>
    <xf numFmtId="43" fontId="23" fillId="0" borderId="1" xfId="7" applyFont="1" applyBorder="1" applyAlignment="1">
      <alignment horizontal="center" vertical="center"/>
    </xf>
    <xf numFmtId="43" fontId="23" fillId="0" borderId="3" xfId="7" applyFont="1" applyBorder="1" applyAlignment="1">
      <alignment horizontal="center" vertical="center"/>
    </xf>
    <xf numFmtId="166" fontId="22" fillId="0" borderId="4" xfId="7" applyNumberFormat="1" applyFont="1" applyBorder="1" applyAlignment="1">
      <alignment horizontal="center" vertical="center"/>
    </xf>
    <xf numFmtId="166" fontId="22" fillId="0" borderId="1" xfId="7" applyNumberFormat="1" applyFont="1" applyBorder="1" applyAlignment="1">
      <alignment horizontal="center" vertical="center"/>
    </xf>
    <xf numFmtId="166" fontId="22" fillId="0" borderId="3" xfId="7" applyNumberFormat="1" applyFont="1" applyBorder="1" applyAlignment="1">
      <alignment horizontal="center" vertical="center"/>
    </xf>
    <xf numFmtId="165" fontId="22" fillId="0" borderId="1" xfId="0" applyNumberFormat="1" applyFont="1" applyBorder="1" applyAlignment="1">
      <alignment horizontal="right" vertical="center"/>
    </xf>
    <xf numFmtId="165" fontId="22" fillId="0" borderId="3" xfId="0" applyNumberFormat="1" applyFont="1" applyBorder="1" applyAlignment="1">
      <alignment horizontal="right" vertical="center"/>
    </xf>
    <xf numFmtId="0" fontId="23" fillId="0" borderId="1" xfId="0" applyFont="1" applyBorder="1" applyAlignment="1">
      <alignment horizontal="center" vertical="center"/>
    </xf>
    <xf numFmtId="0" fontId="23" fillId="0" borderId="3" xfId="0" applyFont="1" applyBorder="1" applyAlignment="1">
      <alignment horizontal="center" vertical="center"/>
    </xf>
    <xf numFmtId="43" fontId="23" fillId="0" borderId="1" xfId="7" applyFont="1" applyBorder="1" applyAlignment="1">
      <alignment horizontal="center" vertical="center" wrapText="1"/>
    </xf>
    <xf numFmtId="43" fontId="23" fillId="0" borderId="3" xfId="7" applyFont="1" applyBorder="1" applyAlignment="1">
      <alignment horizontal="center" vertical="center" wrapText="1"/>
    </xf>
    <xf numFmtId="166" fontId="23" fillId="0" borderId="1" xfId="7" applyNumberFormat="1" applyFont="1" applyBorder="1" applyAlignment="1">
      <alignment horizontal="center" vertical="center"/>
    </xf>
    <xf numFmtId="166" fontId="23" fillId="0" borderId="3" xfId="7" applyNumberFormat="1" applyFont="1" applyBorder="1" applyAlignment="1">
      <alignment horizontal="center" vertical="center"/>
    </xf>
    <xf numFmtId="0" fontId="23" fillId="0" borderId="2" xfId="0" applyFont="1" applyBorder="1" applyAlignment="1">
      <alignment horizontal="center" vertical="center"/>
    </xf>
    <xf numFmtId="0" fontId="24" fillId="4" borderId="37" xfId="0" applyFont="1" applyFill="1" applyBorder="1" applyAlignment="1">
      <alignment horizontal="center" vertical="center"/>
    </xf>
    <xf numFmtId="166" fontId="23" fillId="0" borderId="4" xfId="7" applyNumberFormat="1" applyFont="1" applyBorder="1" applyAlignment="1">
      <alignment horizontal="center" vertical="center"/>
    </xf>
    <xf numFmtId="165" fontId="22" fillId="0" borderId="1" xfId="0" applyNumberFormat="1" applyFont="1" applyBorder="1" applyAlignment="1">
      <alignment horizontal="center" vertical="center"/>
    </xf>
    <xf numFmtId="165" fontId="22" fillId="0" borderId="3" xfId="0" applyNumberFormat="1" applyFont="1" applyBorder="1" applyAlignment="1">
      <alignment horizontal="center" vertical="center"/>
    </xf>
    <xf numFmtId="0" fontId="19" fillId="0" borderId="1" xfId="0" applyFont="1" applyBorder="1" applyAlignment="1">
      <alignment horizontal="center" vertical="center" wrapText="1"/>
    </xf>
    <xf numFmtId="0" fontId="19" fillId="0" borderId="3" xfId="0" applyFont="1" applyBorder="1" applyAlignment="1">
      <alignment horizontal="center" vertical="center" wrapText="1"/>
    </xf>
    <xf numFmtId="165" fontId="19" fillId="0" borderId="1" xfId="0" applyNumberFormat="1" applyFont="1" applyBorder="1" applyAlignment="1">
      <alignment horizontal="center" vertical="center"/>
    </xf>
    <xf numFmtId="165" fontId="19" fillId="0" borderId="3" xfId="0" applyNumberFormat="1" applyFont="1" applyBorder="1" applyAlignment="1">
      <alignment horizontal="center" vertical="center"/>
    </xf>
    <xf numFmtId="166" fontId="19" fillId="0" borderId="1" xfId="7" applyNumberFormat="1" applyFont="1" applyBorder="1" applyAlignment="1">
      <alignment horizontal="center" vertical="center"/>
    </xf>
    <xf numFmtId="166" fontId="19" fillId="0" borderId="3" xfId="7" applyNumberFormat="1" applyFont="1" applyBorder="1" applyAlignment="1">
      <alignment horizontal="center" vertical="center"/>
    </xf>
    <xf numFmtId="0" fontId="24" fillId="4" borderId="4" xfId="0" applyFont="1" applyFill="1" applyBorder="1" applyAlignment="1">
      <alignment horizontal="center" vertical="center"/>
    </xf>
  </cellXfs>
  <cellStyles count="9">
    <cellStyle name="Hiperlink" xfId="6" builtinId="8"/>
    <cellStyle name="Moeda" xfId="1" builtinId="4"/>
    <cellStyle name="Normal" xfId="0" builtinId="0"/>
    <cellStyle name="Normal 2" xfId="5" xr:uid="{00000000-0005-0000-0000-000003000000}"/>
    <cellStyle name="Normal 4" xfId="3" xr:uid="{00000000-0005-0000-0000-000004000000}"/>
    <cellStyle name="Normal 5" xfId="4" xr:uid="{00000000-0005-0000-0000-000005000000}"/>
    <cellStyle name="Porcentagem" xfId="2" builtinId="5"/>
    <cellStyle name="Porcentagem 2" xfId="8" xr:uid="{00000000-0005-0000-0000-000007000000}"/>
    <cellStyle name="Vírgula" xfId="7" builtinId="3"/>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2" displayName="Tabela2" ref="A3:B22" totalsRowShown="0" headerRowDxfId="5" headerRowBorderDxfId="4" tableBorderDxfId="3" totalsRowBorderDxfId="2">
  <autoFilter ref="A3:B22" xr:uid="{00000000-0009-0000-0100-000001000000}"/>
  <tableColumns count="2">
    <tableColumn id="1" xr3:uid="{00000000-0010-0000-0000-000001000000}" name="Colunas1" dataDxfId="1"/>
    <tableColumn id="2" xr3:uid="{00000000-0010-0000-0000-000002000000}"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48</v>
      </c>
    </row>
    <row r="2" spans="1:5" ht="21" x14ac:dyDescent="0.35">
      <c r="A2" s="161" t="s">
        <v>49</v>
      </c>
      <c r="B2" s="161"/>
      <c r="C2" s="161"/>
      <c r="E2" s="2" t="s">
        <v>50</v>
      </c>
    </row>
    <row r="3" spans="1:5" ht="174" customHeight="1" x14ac:dyDescent="0.3">
      <c r="A3" s="160" t="s">
        <v>51</v>
      </c>
      <c r="B3" s="160"/>
      <c r="C3" s="160"/>
      <c r="E3" s="4" t="s">
        <v>52</v>
      </c>
    </row>
    <row r="4" spans="1:5" ht="18.75" customHeight="1" thickBot="1" x14ac:dyDescent="0.35">
      <c r="A4" s="5"/>
      <c r="E4" s="6"/>
    </row>
    <row r="5" spans="1:5" ht="15.75" customHeight="1" thickBot="1" x14ac:dyDescent="0.3">
      <c r="A5" s="162" t="s">
        <v>53</v>
      </c>
      <c r="B5" s="163"/>
      <c r="C5" s="164"/>
      <c r="E5" s="7" t="s">
        <v>54</v>
      </c>
    </row>
    <row r="6" spans="1:5" ht="22.5" x14ac:dyDescent="0.25">
      <c r="A6" s="165" t="s">
        <v>55</v>
      </c>
      <c r="B6" s="165" t="s">
        <v>56</v>
      </c>
      <c r="C6" s="8" t="s">
        <v>57</v>
      </c>
      <c r="E6" s="7" t="s">
        <v>58</v>
      </c>
    </row>
    <row r="7" spans="1:5" ht="15.75" customHeight="1" thickBot="1" x14ac:dyDescent="0.3">
      <c r="A7" s="166"/>
      <c r="B7" s="166"/>
      <c r="C7" s="9" t="s">
        <v>59</v>
      </c>
      <c r="E7" s="7" t="s">
        <v>60</v>
      </c>
    </row>
    <row r="8" spans="1:5" ht="15.75" thickBot="1" x14ac:dyDescent="0.3">
      <c r="A8" s="10" t="s">
        <v>61</v>
      </c>
      <c r="B8" s="8">
        <v>30</v>
      </c>
      <c r="C8" s="8">
        <v>7</v>
      </c>
      <c r="D8">
        <f>(7/30)/12</f>
        <v>1.94444444444444E-2</v>
      </c>
      <c r="E8" s="11" t="s">
        <v>62</v>
      </c>
    </row>
    <row r="9" spans="1:5" ht="13.5" customHeight="1" x14ac:dyDescent="0.25">
      <c r="A9" s="12" t="s">
        <v>63</v>
      </c>
      <c r="B9" s="13">
        <v>33</v>
      </c>
      <c r="C9" s="13">
        <v>8</v>
      </c>
      <c r="D9">
        <f>(3/30)/12</f>
        <v>8.3333333333333297E-3</v>
      </c>
    </row>
    <row r="10" spans="1:5" ht="13.5" customHeight="1" x14ac:dyDescent="0.25">
      <c r="A10" s="12" t="s">
        <v>64</v>
      </c>
      <c r="B10" s="13">
        <v>36</v>
      </c>
      <c r="C10" s="13">
        <v>8</v>
      </c>
      <c r="D10">
        <f>(3/30)/12</f>
        <v>8.3333333333333297E-3</v>
      </c>
    </row>
    <row r="11" spans="1:5" ht="13.5" customHeight="1" x14ac:dyDescent="0.25">
      <c r="A11" s="12" t="s">
        <v>65</v>
      </c>
      <c r="B11" s="13">
        <v>39</v>
      </c>
      <c r="C11" s="13">
        <v>9</v>
      </c>
      <c r="D11">
        <f>(3/30)/12</f>
        <v>8.3333333333333297E-3</v>
      </c>
    </row>
    <row r="12" spans="1:5" ht="13.5" customHeight="1" x14ac:dyDescent="0.25">
      <c r="A12" s="14" t="s">
        <v>66</v>
      </c>
      <c r="B12" s="15">
        <v>42</v>
      </c>
      <c r="C12" s="15">
        <v>10</v>
      </c>
      <c r="D12">
        <f>(3/30)/12</f>
        <v>8.3333333333333297E-3</v>
      </c>
    </row>
    <row r="13" spans="1:5" ht="13.5" customHeight="1" x14ac:dyDescent="0.25">
      <c r="A13" s="12" t="s">
        <v>67</v>
      </c>
      <c r="B13" s="13">
        <v>45</v>
      </c>
      <c r="C13" s="13">
        <v>11</v>
      </c>
      <c r="D13">
        <f>(3/30)/12</f>
        <v>8.3333333333333297E-3</v>
      </c>
      <c r="E13" t="s">
        <v>89</v>
      </c>
    </row>
    <row r="14" spans="1:5" x14ac:dyDescent="0.25">
      <c r="A14" s="12" t="s">
        <v>68</v>
      </c>
      <c r="B14" s="13">
        <v>48</v>
      </c>
      <c r="C14" s="13">
        <v>11</v>
      </c>
      <c r="E14" t="s">
        <v>47</v>
      </c>
    </row>
    <row r="15" spans="1:5" x14ac:dyDescent="0.25">
      <c r="A15" s="12" t="s">
        <v>69</v>
      </c>
      <c r="B15" s="13">
        <v>51</v>
      </c>
      <c r="C15" s="13">
        <v>12</v>
      </c>
    </row>
    <row r="16" spans="1:5" x14ac:dyDescent="0.25">
      <c r="A16" s="12" t="s">
        <v>70</v>
      </c>
      <c r="B16" s="13">
        <v>54</v>
      </c>
      <c r="C16" s="13">
        <v>13</v>
      </c>
    </row>
    <row r="17" spans="1:5" x14ac:dyDescent="0.25">
      <c r="A17" s="12" t="s">
        <v>71</v>
      </c>
      <c r="B17" s="13">
        <v>57</v>
      </c>
      <c r="C17" s="13">
        <v>13</v>
      </c>
    </row>
    <row r="18" spans="1:5" x14ac:dyDescent="0.25">
      <c r="A18" s="12" t="s">
        <v>72</v>
      </c>
      <c r="B18" s="13">
        <v>60</v>
      </c>
      <c r="C18" s="13">
        <v>14</v>
      </c>
    </row>
    <row r="19" spans="1:5" x14ac:dyDescent="0.25">
      <c r="A19" s="12" t="s">
        <v>73</v>
      </c>
      <c r="B19" s="13">
        <v>63</v>
      </c>
      <c r="C19" s="13">
        <v>15</v>
      </c>
    </row>
    <row r="20" spans="1:5" x14ac:dyDescent="0.25">
      <c r="A20" s="12" t="s">
        <v>74</v>
      </c>
      <c r="B20" s="13">
        <v>66</v>
      </c>
      <c r="C20" s="13">
        <v>15</v>
      </c>
    </row>
    <row r="21" spans="1:5" x14ac:dyDescent="0.25">
      <c r="A21" s="12" t="s">
        <v>75</v>
      </c>
      <c r="B21" s="13">
        <v>69</v>
      </c>
      <c r="C21" s="13">
        <v>16</v>
      </c>
    </row>
    <row r="22" spans="1:5" x14ac:dyDescent="0.25">
      <c r="A22" s="12" t="s">
        <v>76</v>
      </c>
      <c r="B22" s="13">
        <v>72</v>
      </c>
      <c r="C22" s="13">
        <v>17</v>
      </c>
    </row>
    <row r="23" spans="1:5" x14ac:dyDescent="0.25">
      <c r="A23" s="12" t="s">
        <v>77</v>
      </c>
      <c r="B23" s="13">
        <v>75</v>
      </c>
      <c r="C23" s="13">
        <v>18</v>
      </c>
    </row>
    <row r="24" spans="1:5" x14ac:dyDescent="0.25">
      <c r="A24" s="12" t="s">
        <v>78</v>
      </c>
      <c r="B24" s="13">
        <v>78</v>
      </c>
      <c r="C24" s="13">
        <v>18</v>
      </c>
    </row>
    <row r="25" spans="1:5" x14ac:dyDescent="0.25">
      <c r="A25" s="12" t="s">
        <v>79</v>
      </c>
      <c r="B25" s="13">
        <v>81</v>
      </c>
      <c r="C25" s="13">
        <v>19</v>
      </c>
    </row>
    <row r="26" spans="1:5" x14ac:dyDescent="0.25">
      <c r="A26" s="12" t="s">
        <v>80</v>
      </c>
      <c r="B26" s="13">
        <v>84</v>
      </c>
      <c r="C26" s="13">
        <v>20</v>
      </c>
    </row>
    <row r="27" spans="1:5" x14ac:dyDescent="0.25">
      <c r="A27" s="12" t="s">
        <v>81</v>
      </c>
      <c r="B27" s="13">
        <v>87</v>
      </c>
      <c r="C27" s="13">
        <v>20</v>
      </c>
    </row>
    <row r="28" spans="1:5" ht="15.75" thickBot="1" x14ac:dyDescent="0.3">
      <c r="A28" s="16" t="s">
        <v>82</v>
      </c>
      <c r="B28" s="9">
        <v>90</v>
      </c>
      <c r="C28" s="9">
        <v>21</v>
      </c>
      <c r="E28" s="17" t="s">
        <v>83</v>
      </c>
    </row>
    <row r="29" spans="1:5" ht="18.75" x14ac:dyDescent="0.3">
      <c r="A29" s="5"/>
    </row>
    <row r="30" spans="1:5" ht="145.5" customHeight="1" x14ac:dyDescent="0.3">
      <c r="A30" s="167" t="s">
        <v>84</v>
      </c>
      <c r="B30" s="167"/>
      <c r="C30" s="167"/>
    </row>
    <row r="31" spans="1:5" ht="18.75" x14ac:dyDescent="0.3">
      <c r="A31" s="5"/>
    </row>
    <row r="32" spans="1:5" ht="18.75" x14ac:dyDescent="0.3">
      <c r="A32" s="18" t="s">
        <v>85</v>
      </c>
    </row>
    <row r="33" spans="1:3" ht="18.75" x14ac:dyDescent="0.3">
      <c r="A33" s="5"/>
    </row>
    <row r="34" spans="1:3" x14ac:dyDescent="0.25">
      <c r="A34" s="160" t="s">
        <v>86</v>
      </c>
      <c r="B34" s="160"/>
      <c r="C34" s="160"/>
    </row>
    <row r="35" spans="1:3" x14ac:dyDescent="0.25">
      <c r="A35" s="160"/>
      <c r="B35" s="160"/>
      <c r="C35" s="160"/>
    </row>
    <row r="36" spans="1:3" x14ac:dyDescent="0.25">
      <c r="A36" s="160" t="s">
        <v>87</v>
      </c>
      <c r="B36" s="160"/>
      <c r="C36" s="160"/>
    </row>
    <row r="37" spans="1:3" x14ac:dyDescent="0.25">
      <c r="A37" s="160"/>
      <c r="B37" s="160"/>
      <c r="C37" s="160"/>
    </row>
    <row r="40" spans="1:3" x14ac:dyDescent="0.25">
      <c r="A40" s="19" t="s">
        <v>88</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xr:uid="{00000000-0004-0000-0000-000000000000}"/>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168" t="s">
        <v>90</v>
      </c>
      <c r="B1" s="168"/>
    </row>
    <row r="2" spans="1:2" ht="19.5" thickBot="1" x14ac:dyDescent="0.35">
      <c r="A2" s="21" t="s">
        <v>91</v>
      </c>
      <c r="B2" s="21" t="s">
        <v>92</v>
      </c>
    </row>
    <row r="3" spans="1:2" ht="19.5" thickBot="1" x14ac:dyDescent="0.35">
      <c r="A3" s="22" t="s">
        <v>93</v>
      </c>
      <c r="B3" s="23" t="s">
        <v>94</v>
      </c>
    </row>
    <row r="4" spans="1:2" ht="57" thickBot="1" x14ac:dyDescent="0.35">
      <c r="A4" s="24" t="s">
        <v>95</v>
      </c>
      <c r="B4" s="25" t="s">
        <v>96</v>
      </c>
    </row>
    <row r="5" spans="1:2" ht="19.5" thickBot="1" x14ac:dyDescent="0.35">
      <c r="A5" s="24" t="s">
        <v>97</v>
      </c>
      <c r="B5" s="25" t="s">
        <v>98</v>
      </c>
    </row>
    <row r="6" spans="1:2" ht="94.5" thickBot="1" x14ac:dyDescent="0.35">
      <c r="A6" s="24" t="s">
        <v>99</v>
      </c>
      <c r="B6" s="25" t="s">
        <v>100</v>
      </c>
    </row>
    <row r="7" spans="1:2" ht="38.25" thickBot="1" x14ac:dyDescent="0.35">
      <c r="A7" s="24" t="s">
        <v>101</v>
      </c>
      <c r="B7" s="25" t="s">
        <v>102</v>
      </c>
    </row>
    <row r="8" spans="1:2" ht="19.5" thickBot="1" x14ac:dyDescent="0.35">
      <c r="A8" s="24" t="s">
        <v>103</v>
      </c>
      <c r="B8" s="25" t="s">
        <v>104</v>
      </c>
    </row>
    <row r="9" spans="1:2" ht="38.25" thickBot="1" x14ac:dyDescent="0.35">
      <c r="A9" s="24" t="s">
        <v>105</v>
      </c>
      <c r="B9" s="25" t="s">
        <v>106</v>
      </c>
    </row>
    <row r="10" spans="1:2" ht="57" thickBot="1" x14ac:dyDescent="0.35">
      <c r="A10" s="24" t="s">
        <v>107</v>
      </c>
      <c r="B10" s="25" t="s">
        <v>108</v>
      </c>
    </row>
    <row r="11" spans="1:2" ht="75.75" thickBot="1" x14ac:dyDescent="0.35">
      <c r="A11" s="24" t="s">
        <v>109</v>
      </c>
      <c r="B11" s="25" t="s">
        <v>110</v>
      </c>
    </row>
    <row r="12" spans="1:2" ht="57" thickBot="1" x14ac:dyDescent="0.35">
      <c r="A12" s="24" t="s">
        <v>107</v>
      </c>
      <c r="B12" s="25" t="s">
        <v>111</v>
      </c>
    </row>
    <row r="13" spans="1:2" ht="38.25" thickBot="1" x14ac:dyDescent="0.35">
      <c r="A13" s="24" t="s">
        <v>107</v>
      </c>
      <c r="B13" s="25" t="s">
        <v>112</v>
      </c>
    </row>
    <row r="14" spans="1:2" ht="57" thickBot="1" x14ac:dyDescent="0.35">
      <c r="A14" s="24" t="s">
        <v>107</v>
      </c>
      <c r="B14" s="25" t="s">
        <v>113</v>
      </c>
    </row>
    <row r="15" spans="1:2" ht="19.5" thickBot="1" x14ac:dyDescent="0.35">
      <c r="A15" s="24" t="s">
        <v>107</v>
      </c>
      <c r="B15" s="25" t="s">
        <v>114</v>
      </c>
    </row>
    <row r="16" spans="1:2" ht="38.25" thickBot="1" x14ac:dyDescent="0.35">
      <c r="A16" s="24" t="s">
        <v>115</v>
      </c>
      <c r="B16" s="25" t="s">
        <v>116</v>
      </c>
    </row>
    <row r="17" spans="1:2" ht="38.25" thickBot="1" x14ac:dyDescent="0.35">
      <c r="A17" s="24" t="s">
        <v>117</v>
      </c>
      <c r="B17" s="25" t="s">
        <v>118</v>
      </c>
    </row>
    <row r="18" spans="1:2" ht="38.25" thickBot="1" x14ac:dyDescent="0.35">
      <c r="A18" s="24" t="s">
        <v>107</v>
      </c>
      <c r="B18" s="25" t="s">
        <v>119</v>
      </c>
    </row>
    <row r="19" spans="1:2" ht="57" thickBot="1" x14ac:dyDescent="0.35">
      <c r="A19" s="24" t="s">
        <v>107</v>
      </c>
      <c r="B19" s="25" t="s">
        <v>120</v>
      </c>
    </row>
    <row r="20" spans="1:2" ht="38.25" thickBot="1" x14ac:dyDescent="0.35">
      <c r="A20" s="24" t="s">
        <v>107</v>
      </c>
      <c r="B20" s="25" t="s">
        <v>121</v>
      </c>
    </row>
    <row r="21" spans="1:2" ht="57" thickBot="1" x14ac:dyDescent="0.35">
      <c r="A21" s="24" t="s">
        <v>107</v>
      </c>
      <c r="B21" s="25" t="s">
        <v>122</v>
      </c>
    </row>
    <row r="22" spans="1:2" x14ac:dyDescent="0.3">
      <c r="A22" s="26" t="s">
        <v>107</v>
      </c>
      <c r="B22" s="27" t="s">
        <v>123</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
  <sheetViews>
    <sheetView tabSelected="1" view="pageBreakPreview" zoomScaleNormal="100" zoomScaleSheetLayoutView="100" zoomScalePageLayoutView="80" workbookViewId="0">
      <selection activeCell="F11" sqref="F11"/>
    </sheetView>
  </sheetViews>
  <sheetFormatPr defaultColWidth="9.140625" defaultRowHeight="15.75" x14ac:dyDescent="0.25"/>
  <cols>
    <col min="1" max="1" width="6.5703125" style="36" customWidth="1"/>
    <col min="2" max="2" width="61.42578125" style="37" customWidth="1"/>
    <col min="3" max="3" width="21.140625" style="35" customWidth="1"/>
    <col min="4" max="4" width="8.28515625" style="36" customWidth="1"/>
    <col min="5" max="5" width="17.42578125" style="38" customWidth="1"/>
    <col min="6" max="6" width="20.85546875" style="38" customWidth="1"/>
    <col min="7" max="7" width="27.28515625" style="38" customWidth="1"/>
    <col min="8" max="8" width="0" style="34" hidden="1" customWidth="1"/>
    <col min="9" max="9" width="9.85546875" style="35" hidden="1" customWidth="1"/>
    <col min="10" max="12" width="9.85546875" style="36" hidden="1" customWidth="1"/>
    <col min="13" max="13" width="0" style="36" hidden="1" customWidth="1"/>
    <col min="14" max="14" width="10.140625" style="36" hidden="1" customWidth="1"/>
    <col min="15" max="16384" width="9.140625" style="36"/>
  </cols>
  <sheetData>
    <row r="1" spans="1:15" ht="15.75" customHeight="1" x14ac:dyDescent="0.25">
      <c r="A1" s="173" t="s">
        <v>272</v>
      </c>
      <c r="B1" s="174"/>
      <c r="C1" s="174"/>
      <c r="D1" s="174"/>
      <c r="E1" s="174"/>
      <c r="F1" s="174"/>
      <c r="G1" s="175"/>
    </row>
    <row r="2" spans="1:15" x14ac:dyDescent="0.25">
      <c r="A2" s="176"/>
      <c r="B2" s="177"/>
      <c r="C2" s="177"/>
      <c r="D2" s="177"/>
      <c r="E2" s="177"/>
      <c r="F2" s="177"/>
      <c r="G2" s="178"/>
    </row>
    <row r="3" spans="1:15" ht="39.75" customHeight="1" x14ac:dyDescent="0.25">
      <c r="A3" s="176"/>
      <c r="B3" s="177"/>
      <c r="C3" s="177"/>
      <c r="D3" s="177"/>
      <c r="E3" s="177"/>
      <c r="F3" s="177"/>
      <c r="G3" s="178"/>
    </row>
    <row r="4" spans="1:15" ht="16.5" customHeight="1" thickBot="1" x14ac:dyDescent="0.3">
      <c r="A4" s="179"/>
      <c r="B4" s="180"/>
      <c r="C4" s="180"/>
      <c r="D4" s="180"/>
      <c r="E4" s="180"/>
      <c r="F4" s="180"/>
      <c r="G4" s="181"/>
    </row>
    <row r="5" spans="1:15" s="41" customFormat="1" ht="16.5" customHeight="1" thickBot="1" x14ac:dyDescent="0.35">
      <c r="A5" s="170" t="s">
        <v>271</v>
      </c>
      <c r="B5" s="171"/>
      <c r="C5" s="171"/>
      <c r="D5" s="171"/>
      <c r="E5" s="171"/>
      <c r="F5" s="171"/>
      <c r="G5" s="172"/>
      <c r="H5" s="39"/>
      <c r="I5" s="40"/>
      <c r="O5" s="36"/>
    </row>
    <row r="6" spans="1:15" ht="30" x14ac:dyDescent="0.25">
      <c r="A6" s="92" t="s">
        <v>127</v>
      </c>
      <c r="B6" s="92" t="s">
        <v>126</v>
      </c>
      <c r="C6" s="92" t="s">
        <v>128</v>
      </c>
      <c r="D6" s="92" t="s">
        <v>214</v>
      </c>
      <c r="E6" s="92" t="s">
        <v>215</v>
      </c>
      <c r="F6" s="92" t="s">
        <v>216</v>
      </c>
      <c r="G6" s="92" t="s">
        <v>217</v>
      </c>
      <c r="L6" s="36">
        <v>9122.2199999999993</v>
      </c>
      <c r="N6" s="36">
        <v>2</v>
      </c>
    </row>
    <row r="7" spans="1:15" ht="30" x14ac:dyDescent="0.25">
      <c r="A7" s="115">
        <v>1</v>
      </c>
      <c r="B7" s="91" t="s">
        <v>136</v>
      </c>
      <c r="C7" s="90" t="s">
        <v>133</v>
      </c>
      <c r="D7" s="90">
        <v>1</v>
      </c>
      <c r="E7" s="95">
        <f>'Vigilante diurno (ARM.)'!E109</f>
        <v>13489.94</v>
      </c>
      <c r="F7" s="95">
        <f t="shared" ref="F7" si="0">E7*D7</f>
        <v>13489.94</v>
      </c>
      <c r="G7" s="95">
        <f>F7*12</f>
        <v>161879.28</v>
      </c>
      <c r="L7" s="36">
        <v>10175.719999999999</v>
      </c>
      <c r="N7" s="36">
        <v>2</v>
      </c>
    </row>
    <row r="8" spans="1:15" s="41" customFormat="1" ht="31.5" customHeight="1" x14ac:dyDescent="0.25">
      <c r="A8" s="116">
        <v>2</v>
      </c>
      <c r="B8" s="94" t="s">
        <v>136</v>
      </c>
      <c r="C8" s="93" t="s">
        <v>134</v>
      </c>
      <c r="D8" s="93">
        <v>1</v>
      </c>
      <c r="E8" s="96">
        <f>'Vigilante noturno (ARM.) (2)'!E109</f>
        <v>14757.48</v>
      </c>
      <c r="F8" s="96">
        <f>E8*D8</f>
        <v>14757.48</v>
      </c>
      <c r="G8" s="96">
        <f>F8*12</f>
        <v>177089.76</v>
      </c>
      <c r="H8" s="47"/>
      <c r="I8" s="48">
        <v>470890</v>
      </c>
      <c r="J8" s="47"/>
      <c r="K8" s="47"/>
      <c r="L8" s="47"/>
      <c r="M8" s="47"/>
      <c r="N8" s="48">
        <v>1597575.33</v>
      </c>
      <c r="O8" s="49"/>
    </row>
    <row r="9" spans="1:15" ht="21.75" customHeight="1" x14ac:dyDescent="0.25">
      <c r="A9" s="182" t="s">
        <v>253</v>
      </c>
      <c r="B9" s="182"/>
      <c r="C9" s="182"/>
      <c r="D9" s="182"/>
      <c r="E9" s="182"/>
      <c r="F9" s="97">
        <f>SUM(F7:F8)</f>
        <v>28247.42</v>
      </c>
      <c r="G9" s="97">
        <f>SUM(G7:G8)</f>
        <v>338969.04</v>
      </c>
    </row>
    <row r="10" spans="1:15" x14ac:dyDescent="0.25">
      <c r="A10"/>
      <c r="B10"/>
      <c r="C10"/>
      <c r="D10"/>
      <c r="E10"/>
      <c r="F10"/>
      <c r="G10"/>
    </row>
    <row r="11" spans="1:15" ht="18.75" x14ac:dyDescent="0.25">
      <c r="A11" s="169" t="s">
        <v>218</v>
      </c>
      <c r="B11" s="169"/>
      <c r="C11" s="169"/>
      <c r="D11" s="169"/>
      <c r="E11" s="169"/>
      <c r="F11" s="98">
        <f xml:space="preserve"> F9</f>
        <v>28247.42</v>
      </c>
      <c r="G11" s="117">
        <f xml:space="preserve"> G9</f>
        <v>338969.04</v>
      </c>
    </row>
  </sheetData>
  <mergeCells count="4">
    <mergeCell ref="A11:E11"/>
    <mergeCell ref="A5:G5"/>
    <mergeCell ref="A1:G4"/>
    <mergeCell ref="A9:E9"/>
  </mergeCells>
  <pageMargins left="0.51181102362204722" right="0.51181102362204722" top="1.1811023622047245" bottom="1.1811023622047245" header="0.31496062992125984" footer="0.31496062992125984"/>
  <pageSetup paperSize="9" scale="52" orientation="portrait" r:id="rId1"/>
  <headerFooter scaleWithDoc="0" alignWithMargins="0">
    <oddHeader>&amp;C&amp;G</oddHead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0"/>
  <sheetViews>
    <sheetView zoomScaleNormal="100" workbookViewId="0">
      <selection activeCell="E43" sqref="A43:E43"/>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211" t="s">
        <v>265</v>
      </c>
      <c r="B1" s="211"/>
      <c r="C1" s="211"/>
      <c r="D1" s="211"/>
      <c r="E1" s="211"/>
    </row>
    <row r="2" spans="1:5" x14ac:dyDescent="0.25">
      <c r="A2" s="212" t="s">
        <v>188</v>
      </c>
      <c r="B2" s="212"/>
      <c r="C2" s="212"/>
      <c r="D2" s="212"/>
      <c r="E2" s="212"/>
    </row>
    <row r="3" spans="1:5" x14ac:dyDescent="0.25">
      <c r="A3" s="127" t="s">
        <v>0</v>
      </c>
      <c r="B3" s="129" t="s">
        <v>1</v>
      </c>
      <c r="C3" s="213" t="s">
        <v>281</v>
      </c>
      <c r="D3" s="213"/>
      <c r="E3" s="213"/>
    </row>
    <row r="4" spans="1:5" x14ac:dyDescent="0.25">
      <c r="A4" s="127" t="s">
        <v>2</v>
      </c>
      <c r="B4" s="129" t="s">
        <v>126</v>
      </c>
      <c r="C4" s="210" t="s">
        <v>188</v>
      </c>
      <c r="D4" s="210"/>
      <c r="E4" s="210"/>
    </row>
    <row r="5" spans="1:5" ht="25.5" x14ac:dyDescent="0.25">
      <c r="A5" s="127" t="s">
        <v>3</v>
      </c>
      <c r="B5" s="129" t="s">
        <v>4</v>
      </c>
      <c r="C5" s="210" t="s">
        <v>282</v>
      </c>
      <c r="D5" s="210"/>
      <c r="E5" s="210"/>
    </row>
    <row r="6" spans="1:5" x14ac:dyDescent="0.25">
      <c r="A6" s="127" t="s">
        <v>5</v>
      </c>
      <c r="B6" s="129" t="s">
        <v>137</v>
      </c>
      <c r="C6" s="210">
        <v>12</v>
      </c>
      <c r="D6" s="210"/>
      <c r="E6" s="210"/>
    </row>
    <row r="7" spans="1:5" x14ac:dyDescent="0.25">
      <c r="A7" s="215" t="s">
        <v>6</v>
      </c>
      <c r="B7" s="215"/>
      <c r="C7" s="215"/>
      <c r="D7" s="215"/>
      <c r="E7" s="215"/>
    </row>
    <row r="8" spans="1:5" x14ac:dyDescent="0.25">
      <c r="A8" s="216" t="s">
        <v>7</v>
      </c>
      <c r="B8" s="216"/>
      <c r="C8" s="216"/>
      <c r="D8" s="216"/>
      <c r="E8" s="216"/>
    </row>
    <row r="9" spans="1:5" x14ac:dyDescent="0.25">
      <c r="A9" s="216" t="s">
        <v>253</v>
      </c>
      <c r="B9" s="215"/>
      <c r="C9" s="215"/>
      <c r="D9" s="215"/>
      <c r="E9" s="215"/>
    </row>
    <row r="10" spans="1:5" ht="25.5" x14ac:dyDescent="0.25">
      <c r="A10" s="127">
        <v>1</v>
      </c>
      <c r="B10" s="53" t="s">
        <v>125</v>
      </c>
      <c r="C10" s="207" t="s">
        <v>188</v>
      </c>
      <c r="D10" s="207"/>
      <c r="E10" s="207"/>
    </row>
    <row r="11" spans="1:5" x14ac:dyDescent="0.25">
      <c r="A11" s="127">
        <v>2</v>
      </c>
      <c r="B11" s="187" t="s">
        <v>9</v>
      </c>
      <c r="C11" s="187"/>
      <c r="D11" s="187"/>
      <c r="E11" s="130">
        <v>1695.43</v>
      </c>
    </row>
    <row r="12" spans="1:5" x14ac:dyDescent="0.25">
      <c r="A12" s="127">
        <v>3</v>
      </c>
      <c r="B12" s="53" t="s">
        <v>10</v>
      </c>
      <c r="C12" s="207" t="s">
        <v>267</v>
      </c>
      <c r="D12" s="207"/>
      <c r="E12" s="207"/>
    </row>
    <row r="13" spans="1:5" x14ac:dyDescent="0.25">
      <c r="A13" s="127">
        <v>4</v>
      </c>
      <c r="B13" s="188" t="s">
        <v>11</v>
      </c>
      <c r="C13" s="188"/>
      <c r="D13" s="188"/>
      <c r="E13" s="131">
        <v>45352</v>
      </c>
    </row>
    <row r="14" spans="1:5" x14ac:dyDescent="0.25">
      <c r="A14" s="189" t="s">
        <v>12</v>
      </c>
      <c r="B14" s="189"/>
      <c r="C14" s="189"/>
      <c r="D14" s="189"/>
      <c r="E14" s="189"/>
    </row>
    <row r="15" spans="1:5" x14ac:dyDescent="0.25">
      <c r="A15" s="126">
        <v>1</v>
      </c>
      <c r="B15" s="196" t="s">
        <v>13</v>
      </c>
      <c r="C15" s="201"/>
      <c r="D15" s="201"/>
      <c r="E15" s="133" t="s">
        <v>8</v>
      </c>
    </row>
    <row r="16" spans="1:5" x14ac:dyDescent="0.25">
      <c r="A16" s="134" t="s">
        <v>0</v>
      </c>
      <c r="B16" s="62" t="s">
        <v>14</v>
      </c>
      <c r="C16" s="214"/>
      <c r="D16" s="214"/>
      <c r="E16" s="109">
        <f>+E11</f>
        <v>1695.43</v>
      </c>
    </row>
    <row r="17" spans="1:5" x14ac:dyDescent="0.25">
      <c r="A17" s="134" t="s">
        <v>2</v>
      </c>
      <c r="B17" s="65" t="s">
        <v>221</v>
      </c>
      <c r="C17" s="135">
        <v>0</v>
      </c>
      <c r="D17" s="136">
        <v>1302</v>
      </c>
      <c r="E17" s="137">
        <f>D17*C17</f>
        <v>0</v>
      </c>
    </row>
    <row r="18" spans="1:5" ht="17.25" customHeight="1" x14ac:dyDescent="0.25">
      <c r="A18" s="134" t="s">
        <v>3</v>
      </c>
      <c r="B18" s="62" t="s">
        <v>16</v>
      </c>
      <c r="C18" s="203">
        <v>0</v>
      </c>
      <c r="D18" s="204"/>
      <c r="E18" s="137">
        <f>0</f>
        <v>0</v>
      </c>
    </row>
    <row r="19" spans="1:5" ht="14.25" customHeight="1" x14ac:dyDescent="0.25">
      <c r="A19" s="134" t="s">
        <v>124</v>
      </c>
      <c r="B19" s="205" t="s">
        <v>228</v>
      </c>
      <c r="C19" s="206"/>
      <c r="D19" s="206"/>
      <c r="E19" s="138">
        <f>SUM(E16:E18)</f>
        <v>1695.43</v>
      </c>
    </row>
    <row r="20" spans="1:5" ht="19.5" customHeight="1" x14ac:dyDescent="0.25">
      <c r="A20" s="134" t="s">
        <v>5</v>
      </c>
      <c r="B20" s="62" t="s">
        <v>15</v>
      </c>
      <c r="C20" s="139">
        <v>0.3</v>
      </c>
      <c r="D20" s="140">
        <f>E19</f>
        <v>1695.43</v>
      </c>
      <c r="E20" s="137">
        <f>E19*C20</f>
        <v>508.63</v>
      </c>
    </row>
    <row r="21" spans="1:5" x14ac:dyDescent="0.25">
      <c r="A21" s="194" t="s">
        <v>20</v>
      </c>
      <c r="B21" s="194"/>
      <c r="C21" s="194"/>
      <c r="D21" s="194"/>
      <c r="E21" s="141">
        <f>SUM(E19:E20)</f>
        <v>2204.06</v>
      </c>
    </row>
    <row r="22" spans="1:5" x14ac:dyDescent="0.25">
      <c r="A22" s="189" t="s">
        <v>46</v>
      </c>
      <c r="B22" s="189"/>
      <c r="C22" s="189"/>
      <c r="D22" s="189"/>
      <c r="E22" s="189"/>
    </row>
    <row r="23" spans="1:5" x14ac:dyDescent="0.25">
      <c r="A23" s="126" t="s">
        <v>138</v>
      </c>
      <c r="B23" s="196" t="s">
        <v>139</v>
      </c>
      <c r="C23" s="201"/>
      <c r="D23" s="201"/>
      <c r="E23" s="133" t="s">
        <v>8</v>
      </c>
    </row>
    <row r="24" spans="1:5" x14ac:dyDescent="0.25">
      <c r="A24" s="128" t="s">
        <v>0</v>
      </c>
      <c r="B24" s="186" t="s">
        <v>27</v>
      </c>
      <c r="C24" s="186"/>
      <c r="D24" s="71">
        <f>1/12</f>
        <v>8.3299999999999999E-2</v>
      </c>
      <c r="E24" s="142">
        <f>ROUND(+$E$21*D24,2)</f>
        <v>183.6</v>
      </c>
    </row>
    <row r="25" spans="1:5" x14ac:dyDescent="0.25">
      <c r="A25" s="128" t="s">
        <v>2</v>
      </c>
      <c r="B25" s="186" t="s">
        <v>140</v>
      </c>
      <c r="C25" s="186"/>
      <c r="D25" s="71">
        <v>0.1111</v>
      </c>
      <c r="E25" s="142">
        <f>ROUND(+$E$21*D25,2)</f>
        <v>244.87</v>
      </c>
    </row>
    <row r="26" spans="1:5" x14ac:dyDescent="0.25">
      <c r="A26" s="194" t="s">
        <v>25</v>
      </c>
      <c r="B26" s="194"/>
      <c r="C26" s="208"/>
      <c r="D26" s="72">
        <f>SUM(D24:D25)</f>
        <v>0.19439999999999999</v>
      </c>
      <c r="E26" s="141">
        <f>SUM(E24:E25)</f>
        <v>428.47</v>
      </c>
    </row>
    <row r="27" spans="1:5" ht="29.25" customHeight="1" x14ac:dyDescent="0.25">
      <c r="A27" s="209" t="s">
        <v>141</v>
      </c>
      <c r="B27" s="209"/>
      <c r="C27" s="209"/>
      <c r="D27" s="209"/>
      <c r="E27" s="209"/>
    </row>
    <row r="28" spans="1:5" x14ac:dyDescent="0.25">
      <c r="A28" s="126" t="s">
        <v>142</v>
      </c>
      <c r="B28" s="196" t="s">
        <v>23</v>
      </c>
      <c r="C28" s="201"/>
      <c r="D28" s="201"/>
      <c r="E28" s="133" t="s">
        <v>8</v>
      </c>
    </row>
    <row r="29" spans="1:5" x14ac:dyDescent="0.25">
      <c r="A29" s="128" t="s">
        <v>0</v>
      </c>
      <c r="B29" s="188" t="s">
        <v>143</v>
      </c>
      <c r="C29" s="188"/>
      <c r="D29" s="71">
        <v>0.2</v>
      </c>
      <c r="E29" s="142">
        <f>(E21+E26)*D29</f>
        <v>526.51</v>
      </c>
    </row>
    <row r="30" spans="1:5" x14ac:dyDescent="0.25">
      <c r="A30" s="128" t="s">
        <v>2</v>
      </c>
      <c r="B30" s="188" t="s">
        <v>144</v>
      </c>
      <c r="C30" s="188"/>
      <c r="D30" s="71">
        <v>1.4999999999999999E-2</v>
      </c>
      <c r="E30" s="142">
        <f>(E21+E26)*D30</f>
        <v>39.49</v>
      </c>
    </row>
    <row r="31" spans="1:5" x14ac:dyDescent="0.25">
      <c r="A31" s="128" t="s">
        <v>3</v>
      </c>
      <c r="B31" s="188" t="s">
        <v>259</v>
      </c>
      <c r="C31" s="188"/>
      <c r="D31" s="71">
        <v>0.01</v>
      </c>
      <c r="E31" s="142">
        <f>(E21+E26)*D31</f>
        <v>26.33</v>
      </c>
    </row>
    <row r="32" spans="1:5" x14ac:dyDescent="0.25">
      <c r="A32" s="128" t="s">
        <v>5</v>
      </c>
      <c r="B32" s="188" t="s">
        <v>146</v>
      </c>
      <c r="C32" s="188"/>
      <c r="D32" s="71">
        <v>2E-3</v>
      </c>
      <c r="E32" s="142">
        <f>(E21+E26)*D32</f>
        <v>5.27</v>
      </c>
    </row>
    <row r="33" spans="1:6" x14ac:dyDescent="0.25">
      <c r="A33" s="128" t="s">
        <v>17</v>
      </c>
      <c r="B33" s="188" t="s">
        <v>260</v>
      </c>
      <c r="C33" s="188"/>
      <c r="D33" s="71">
        <v>2.5000000000000001E-2</v>
      </c>
      <c r="E33" s="142">
        <f>(E21+E26)*D33</f>
        <v>65.81</v>
      </c>
    </row>
    <row r="34" spans="1:6" x14ac:dyDescent="0.25">
      <c r="A34" s="128" t="s">
        <v>18</v>
      </c>
      <c r="B34" s="188" t="s">
        <v>148</v>
      </c>
      <c r="C34" s="188"/>
      <c r="D34" s="71">
        <v>0.08</v>
      </c>
      <c r="E34" s="142">
        <f>(E21+E26)*D34</f>
        <v>210.6</v>
      </c>
    </row>
    <row r="35" spans="1:6" x14ac:dyDescent="0.25">
      <c r="A35" s="128" t="s">
        <v>19</v>
      </c>
      <c r="B35" s="188" t="s">
        <v>149</v>
      </c>
      <c r="C35" s="188"/>
      <c r="D35" s="71">
        <v>0.03</v>
      </c>
      <c r="E35" s="142">
        <f>(E21+E26)*D35</f>
        <v>78.98</v>
      </c>
    </row>
    <row r="36" spans="1:6" x14ac:dyDescent="0.25">
      <c r="A36" s="143" t="s">
        <v>24</v>
      </c>
      <c r="B36" s="190" t="s">
        <v>150</v>
      </c>
      <c r="C36" s="190"/>
      <c r="D36" s="79">
        <v>6.0000000000000001E-3</v>
      </c>
      <c r="E36" s="144">
        <f>(E21+E26)*D36</f>
        <v>15.8</v>
      </c>
    </row>
    <row r="37" spans="1:6" x14ac:dyDescent="0.25">
      <c r="A37" s="194" t="s">
        <v>25</v>
      </c>
      <c r="B37" s="194"/>
      <c r="C37" s="208"/>
      <c r="D37" s="72">
        <f>SUM(D29:D36)</f>
        <v>0.36799999999999999</v>
      </c>
      <c r="E37" s="141">
        <f>SUM(E29:E36)</f>
        <v>968.79</v>
      </c>
    </row>
    <row r="38" spans="1:6" x14ac:dyDescent="0.25">
      <c r="A38" s="126" t="s">
        <v>151</v>
      </c>
      <c r="B38" s="196" t="s">
        <v>152</v>
      </c>
      <c r="C38" s="201"/>
      <c r="D38" s="201"/>
      <c r="E38" s="133" t="s">
        <v>8</v>
      </c>
    </row>
    <row r="39" spans="1:6" x14ac:dyDescent="0.25">
      <c r="A39" s="128" t="s">
        <v>0</v>
      </c>
      <c r="B39" s="186" t="s">
        <v>153</v>
      </c>
      <c r="C39" s="186"/>
      <c r="D39" s="121">
        <v>0</v>
      </c>
      <c r="E39" s="107">
        <v>129.66999999999999</v>
      </c>
      <c r="F39" t="s">
        <v>280</v>
      </c>
    </row>
    <row r="40" spans="1:6" x14ac:dyDescent="0.25">
      <c r="A40" s="128" t="s">
        <v>2</v>
      </c>
      <c r="B40" s="186" t="s">
        <v>154</v>
      </c>
      <c r="C40" s="186"/>
      <c r="D40" s="108">
        <v>41</v>
      </c>
      <c r="E40" s="109">
        <f>(D40*15.21)-(D40*15.21*1%)</f>
        <v>617.37</v>
      </c>
    </row>
    <row r="41" spans="1:6" x14ac:dyDescent="0.25">
      <c r="A41" s="128" t="s">
        <v>3</v>
      </c>
      <c r="B41" s="186" t="s">
        <v>189</v>
      </c>
      <c r="C41" s="186"/>
      <c r="D41" s="111"/>
      <c r="E41" s="109">
        <f>((E11*16%) -(E11*1%))/12</f>
        <v>21.19</v>
      </c>
    </row>
    <row r="42" spans="1:6" x14ac:dyDescent="0.25">
      <c r="A42" s="128" t="s">
        <v>5</v>
      </c>
      <c r="B42" s="186" t="s">
        <v>270</v>
      </c>
      <c r="C42" s="186"/>
      <c r="D42" s="104">
        <v>13.38</v>
      </c>
      <c r="E42" s="107">
        <f>D42</f>
        <v>13.38</v>
      </c>
    </row>
    <row r="43" spans="1:6" x14ac:dyDescent="0.25">
      <c r="A43" s="128" t="s">
        <v>17</v>
      </c>
      <c r="B43" s="186" t="s">
        <v>250</v>
      </c>
      <c r="C43" s="186"/>
      <c r="D43" s="104">
        <v>11.21</v>
      </c>
      <c r="E43" s="107">
        <f t="shared" ref="E43" si="0">D43</f>
        <v>11.21</v>
      </c>
      <c r="F43" s="159"/>
    </row>
    <row r="44" spans="1:6" ht="15.6" customHeight="1" x14ac:dyDescent="0.25">
      <c r="A44" s="194" t="s">
        <v>21</v>
      </c>
      <c r="B44" s="194"/>
      <c r="C44" s="194"/>
      <c r="D44" s="194"/>
      <c r="E44" s="141">
        <f>SUM(E39:E43)</f>
        <v>792.82</v>
      </c>
    </row>
    <row r="45" spans="1:6" x14ac:dyDescent="0.25">
      <c r="A45" s="189" t="s">
        <v>156</v>
      </c>
      <c r="B45" s="189"/>
      <c r="C45" s="189"/>
      <c r="D45" s="189"/>
      <c r="E45" s="142"/>
    </row>
    <row r="46" spans="1:6" x14ac:dyDescent="0.25">
      <c r="A46" s="126" t="s">
        <v>138</v>
      </c>
      <c r="B46" s="196" t="s">
        <v>157</v>
      </c>
      <c r="C46" s="201"/>
      <c r="D46" s="201"/>
      <c r="E46" s="145">
        <f>E26</f>
        <v>428.47</v>
      </c>
    </row>
    <row r="47" spans="1:6" x14ac:dyDescent="0.25">
      <c r="A47" s="126" t="s">
        <v>142</v>
      </c>
      <c r="B47" s="186" t="s">
        <v>158</v>
      </c>
      <c r="C47" s="186"/>
      <c r="D47" s="186"/>
      <c r="E47" s="142">
        <f>E37</f>
        <v>968.79</v>
      </c>
    </row>
    <row r="48" spans="1:6" x14ac:dyDescent="0.25">
      <c r="A48" s="126" t="s">
        <v>151</v>
      </c>
      <c r="B48" s="186" t="s">
        <v>159</v>
      </c>
      <c r="C48" s="186"/>
      <c r="D48" s="186"/>
      <c r="E48" s="142">
        <f>E44</f>
        <v>792.82</v>
      </c>
    </row>
    <row r="49" spans="1:6" x14ac:dyDescent="0.25">
      <c r="A49" s="194" t="s">
        <v>25</v>
      </c>
      <c r="B49" s="194"/>
      <c r="C49" s="208"/>
      <c r="D49" s="81" t="s">
        <v>124</v>
      </c>
      <c r="E49" s="141">
        <f>SUM(E46:E48)</f>
        <v>2190.08</v>
      </c>
    </row>
    <row r="50" spans="1:6" x14ac:dyDescent="0.25">
      <c r="A50" s="189" t="s">
        <v>160</v>
      </c>
      <c r="B50" s="189"/>
      <c r="C50" s="189"/>
      <c r="D50" s="189"/>
      <c r="E50" s="189"/>
    </row>
    <row r="51" spans="1:6" x14ac:dyDescent="0.25">
      <c r="A51" s="126" t="s">
        <v>161</v>
      </c>
      <c r="B51" s="196" t="s">
        <v>28</v>
      </c>
      <c r="C51" s="201"/>
      <c r="D51" s="201"/>
      <c r="E51" s="133" t="s">
        <v>8</v>
      </c>
    </row>
    <row r="52" spans="1:6" x14ac:dyDescent="0.25">
      <c r="A52" s="128" t="s">
        <v>0</v>
      </c>
      <c r="B52" s="186" t="s">
        <v>162</v>
      </c>
      <c r="C52" s="186"/>
      <c r="D52" s="71">
        <v>4.5999999999999999E-3</v>
      </c>
      <c r="E52" s="142">
        <f t="shared" ref="E52:E55" si="1">ROUND(+D52*$E$21,2)</f>
        <v>10.14</v>
      </c>
    </row>
    <row r="53" spans="1:6" x14ac:dyDescent="0.25">
      <c r="A53" s="128" t="s">
        <v>2</v>
      </c>
      <c r="B53" s="186" t="s">
        <v>163</v>
      </c>
      <c r="C53" s="186"/>
      <c r="D53" s="71">
        <f>D34*D52</f>
        <v>4.0000000000000002E-4</v>
      </c>
      <c r="E53" s="142">
        <f t="shared" si="1"/>
        <v>0.88</v>
      </c>
    </row>
    <row r="54" spans="1:6" x14ac:dyDescent="0.25">
      <c r="A54" s="128" t="s">
        <v>3</v>
      </c>
      <c r="B54" s="188" t="s">
        <v>29</v>
      </c>
      <c r="C54" s="188"/>
      <c r="D54" s="71">
        <v>1.9400000000000001E-2</v>
      </c>
      <c r="E54" s="142">
        <f t="shared" si="1"/>
        <v>42.76</v>
      </c>
    </row>
    <row r="55" spans="1:6" x14ac:dyDescent="0.25">
      <c r="A55" s="128" t="s">
        <v>5</v>
      </c>
      <c r="B55" s="186" t="s">
        <v>164</v>
      </c>
      <c r="C55" s="186"/>
      <c r="D55" s="71">
        <f>D37*D54</f>
        <v>7.1000000000000004E-3</v>
      </c>
      <c r="E55" s="142">
        <f t="shared" si="1"/>
        <v>15.65</v>
      </c>
    </row>
    <row r="56" spans="1:6" ht="33" customHeight="1" x14ac:dyDescent="0.25">
      <c r="A56" s="128" t="s">
        <v>17</v>
      </c>
      <c r="B56" s="186" t="s">
        <v>229</v>
      </c>
      <c r="C56" s="186"/>
      <c r="D56" s="71">
        <f>4%</f>
        <v>0.04</v>
      </c>
      <c r="E56" s="142">
        <f>ROUND(+D56*$E$21,2)</f>
        <v>88.16</v>
      </c>
    </row>
    <row r="57" spans="1:6" x14ac:dyDescent="0.25">
      <c r="A57" s="194" t="s">
        <v>25</v>
      </c>
      <c r="B57" s="194"/>
      <c r="C57" s="194"/>
      <c r="D57" s="83">
        <f>SUM(D52:D56)</f>
        <v>7.1499999999999994E-2</v>
      </c>
      <c r="E57" s="141">
        <f>SUM(E52:E56)</f>
        <v>157.59</v>
      </c>
    </row>
    <row r="58" spans="1:6" x14ac:dyDescent="0.25">
      <c r="A58" s="189" t="s">
        <v>165</v>
      </c>
      <c r="B58" s="189"/>
      <c r="C58" s="189"/>
      <c r="D58" s="189"/>
      <c r="E58" s="189"/>
    </row>
    <row r="59" spans="1:6" x14ac:dyDescent="0.25">
      <c r="A59" s="126" t="s">
        <v>22</v>
      </c>
      <c r="B59" s="189" t="s">
        <v>166</v>
      </c>
      <c r="C59" s="189"/>
      <c r="D59" s="189"/>
      <c r="E59" s="133" t="s">
        <v>8</v>
      </c>
    </row>
    <row r="60" spans="1:6" x14ac:dyDescent="0.25">
      <c r="A60" s="128" t="s">
        <v>0</v>
      </c>
      <c r="B60" s="186" t="s">
        <v>167</v>
      </c>
      <c r="C60" s="186"/>
      <c r="D60" s="71">
        <f>((1+1/3)/12)/12</f>
        <v>9.2999999999999992E-3</v>
      </c>
      <c r="E60" s="142">
        <f>(E21+E49+E57+E79)*D60</f>
        <v>43.17</v>
      </c>
    </row>
    <row r="61" spans="1:6" x14ac:dyDescent="0.25">
      <c r="A61" s="128" t="s">
        <v>2</v>
      </c>
      <c r="B61" s="186" t="s">
        <v>168</v>
      </c>
      <c r="C61" s="186"/>
      <c r="D61" s="71">
        <v>1.66E-2</v>
      </c>
      <c r="E61" s="142">
        <f>(E21+E49+E57+E79)*D61</f>
        <v>77.06</v>
      </c>
      <c r="F61" t="s">
        <v>240</v>
      </c>
    </row>
    <row r="62" spans="1:6" x14ac:dyDescent="0.25">
      <c r="A62" s="128" t="s">
        <v>3</v>
      </c>
      <c r="B62" s="186" t="s">
        <v>169</v>
      </c>
      <c r="C62" s="186"/>
      <c r="D62" s="71">
        <f>(5/30)*(1/12)*6.24%*95.04%</f>
        <v>8.0000000000000004E-4</v>
      </c>
      <c r="E62" s="142">
        <f>(E21+E49+E57+E79)*D62</f>
        <v>3.71</v>
      </c>
      <c r="F62" t="s">
        <v>241</v>
      </c>
    </row>
    <row r="63" spans="1:6" x14ac:dyDescent="0.25">
      <c r="A63" s="128" t="s">
        <v>5</v>
      </c>
      <c r="B63" s="186" t="s">
        <v>170</v>
      </c>
      <c r="C63" s="186"/>
      <c r="D63" s="71">
        <f>(1/30)*(1/12)</f>
        <v>2.8E-3</v>
      </c>
      <c r="E63" s="142">
        <f>(E21+E49+E57+E79)*D63</f>
        <v>13</v>
      </c>
      <c r="F63" t="s">
        <v>242</v>
      </c>
    </row>
    <row r="64" spans="1:6" x14ac:dyDescent="0.25">
      <c r="A64" s="128" t="s">
        <v>17</v>
      </c>
      <c r="B64" s="186" t="s">
        <v>171</v>
      </c>
      <c r="C64" s="186"/>
      <c r="D64" s="71">
        <f>(0.91/30)*(1/12)</f>
        <v>2.5000000000000001E-3</v>
      </c>
      <c r="E64" s="142">
        <f>(E21+E49+E57+E79)*D64</f>
        <v>11.6</v>
      </c>
      <c r="F64" t="s">
        <v>243</v>
      </c>
    </row>
    <row r="65" spans="1:7" x14ac:dyDescent="0.25">
      <c r="A65" s="128" t="s">
        <v>18</v>
      </c>
      <c r="B65" s="185" t="s">
        <v>263</v>
      </c>
      <c r="C65" s="185"/>
      <c r="D65" s="146">
        <f>(7/30)*(1/24)</f>
        <v>9.7000000000000003E-3</v>
      </c>
      <c r="E65" s="142">
        <f>(E21+E49+E57+E79)*D65</f>
        <v>45.03</v>
      </c>
      <c r="F65" s="113" t="s">
        <v>244</v>
      </c>
    </row>
    <row r="66" spans="1:7" x14ac:dyDescent="0.25">
      <c r="A66" s="194" t="s">
        <v>172</v>
      </c>
      <c r="B66" s="194"/>
      <c r="C66" s="194"/>
      <c r="D66" s="83">
        <f>SUM(D60:D65)</f>
        <v>4.1700000000000001E-2</v>
      </c>
      <c r="E66" s="141">
        <f>SUM(E60:E65)</f>
        <v>193.57</v>
      </c>
    </row>
    <row r="67" spans="1:7" x14ac:dyDescent="0.25">
      <c r="A67" s="189"/>
      <c r="B67" s="189"/>
      <c r="C67" s="189"/>
      <c r="D67" s="189"/>
      <c r="E67" s="142"/>
    </row>
    <row r="68" spans="1:7" x14ac:dyDescent="0.25">
      <c r="A68" s="126" t="s">
        <v>124</v>
      </c>
      <c r="B68" s="196" t="s">
        <v>173</v>
      </c>
      <c r="C68" s="201"/>
      <c r="D68" s="201"/>
      <c r="E68" s="133" t="s">
        <v>8</v>
      </c>
    </row>
    <row r="69" spans="1:7" x14ac:dyDescent="0.25">
      <c r="A69" s="128" t="s">
        <v>0</v>
      </c>
      <c r="B69" s="186" t="s">
        <v>264</v>
      </c>
      <c r="C69" s="186"/>
      <c r="D69" s="186"/>
      <c r="E69" s="142">
        <f>(7.28*1.5)*(15.21)</f>
        <v>166.09</v>
      </c>
      <c r="G69" s="106"/>
    </row>
    <row r="70" spans="1:7" x14ac:dyDescent="0.25">
      <c r="A70" s="128" t="s">
        <v>2</v>
      </c>
      <c r="B70" s="183" t="s">
        <v>279</v>
      </c>
      <c r="C70" s="184"/>
      <c r="D70" s="158">
        <f>D37</f>
        <v>0.36799999999999999</v>
      </c>
      <c r="E70" s="142">
        <f>D70*E69</f>
        <v>61.12</v>
      </c>
      <c r="G70" s="106"/>
    </row>
    <row r="71" spans="1:7" x14ac:dyDescent="0.25">
      <c r="A71" s="194" t="s">
        <v>25</v>
      </c>
      <c r="B71" s="194"/>
      <c r="C71" s="194"/>
      <c r="D71" s="72"/>
      <c r="E71" s="141">
        <f>SUM(E69:E70)</f>
        <v>227.21</v>
      </c>
    </row>
    <row r="72" spans="1:7" x14ac:dyDescent="0.25">
      <c r="A72" s="189" t="s">
        <v>175</v>
      </c>
      <c r="B72" s="189"/>
      <c r="C72" s="189"/>
      <c r="D72" s="189"/>
      <c r="E72" s="142"/>
    </row>
    <row r="73" spans="1:7" x14ac:dyDescent="0.25">
      <c r="A73" s="126">
        <v>4</v>
      </c>
      <c r="B73" s="196" t="s">
        <v>30</v>
      </c>
      <c r="C73" s="201"/>
      <c r="D73" s="201"/>
      <c r="E73" s="133" t="s">
        <v>8</v>
      </c>
    </row>
    <row r="74" spans="1:7" x14ac:dyDescent="0.25">
      <c r="A74" s="128" t="s">
        <v>22</v>
      </c>
      <c r="B74" s="186" t="s">
        <v>166</v>
      </c>
      <c r="C74" s="186"/>
      <c r="D74" s="71">
        <f>D66</f>
        <v>4.1700000000000001E-2</v>
      </c>
      <c r="E74" s="142">
        <f>E66</f>
        <v>193.57</v>
      </c>
    </row>
    <row r="75" spans="1:7" x14ac:dyDescent="0.25">
      <c r="A75" s="128" t="s">
        <v>26</v>
      </c>
      <c r="B75" s="186" t="s">
        <v>173</v>
      </c>
      <c r="C75" s="186"/>
      <c r="D75" s="71"/>
      <c r="E75" s="142">
        <f>E71</f>
        <v>227.21</v>
      </c>
    </row>
    <row r="76" spans="1:7" x14ac:dyDescent="0.25">
      <c r="A76" s="194" t="s">
        <v>176</v>
      </c>
      <c r="B76" s="194"/>
      <c r="C76" s="194"/>
      <c r="D76" s="83">
        <f>SUM(D71:D75)</f>
        <v>4.1700000000000001E-2</v>
      </c>
      <c r="E76" s="141">
        <f>SUM(E74+E75)</f>
        <v>420.78</v>
      </c>
    </row>
    <row r="77" spans="1:7" x14ac:dyDescent="0.25">
      <c r="A77" s="189" t="s">
        <v>177</v>
      </c>
      <c r="B77" s="189"/>
      <c r="C77" s="189"/>
      <c r="D77" s="189"/>
      <c r="E77" s="189"/>
    </row>
    <row r="78" spans="1:7" x14ac:dyDescent="0.25">
      <c r="A78" s="126">
        <v>5</v>
      </c>
      <c r="B78" s="196" t="s">
        <v>178</v>
      </c>
      <c r="C78" s="201"/>
      <c r="D78" s="201"/>
      <c r="E78" s="133" t="s">
        <v>8</v>
      </c>
    </row>
    <row r="79" spans="1:7" x14ac:dyDescent="0.25">
      <c r="A79" s="128" t="s">
        <v>0</v>
      </c>
      <c r="B79" s="186" t="s">
        <v>179</v>
      </c>
      <c r="C79" s="186"/>
      <c r="D79" s="186"/>
      <c r="E79" s="142">
        <f>'Material e uniforme'!H14</f>
        <v>90.26</v>
      </c>
    </row>
    <row r="80" spans="1:7" x14ac:dyDescent="0.25">
      <c r="A80" s="128" t="s">
        <v>2</v>
      </c>
      <c r="B80" s="186" t="s">
        <v>180</v>
      </c>
      <c r="C80" s="186"/>
      <c r="D80" s="186"/>
      <c r="E80" s="142">
        <f>'Material e uniforme'!H26</f>
        <v>101.77</v>
      </c>
    </row>
    <row r="81" spans="1:5" x14ac:dyDescent="0.25">
      <c r="A81" s="128" t="s">
        <v>3</v>
      </c>
      <c r="B81" s="186" t="s">
        <v>181</v>
      </c>
      <c r="C81" s="186"/>
      <c r="D81" s="186"/>
      <c r="E81" s="142">
        <f>'Material e uniforme'!H41</f>
        <v>246.63</v>
      </c>
    </row>
    <row r="82" spans="1:5" x14ac:dyDescent="0.25">
      <c r="A82" s="128" t="s">
        <v>5</v>
      </c>
      <c r="B82" s="186" t="s">
        <v>225</v>
      </c>
      <c r="C82" s="186"/>
      <c r="D82" s="186"/>
      <c r="E82" s="142">
        <v>32</v>
      </c>
    </row>
    <row r="83" spans="1:5" x14ac:dyDescent="0.25">
      <c r="A83" s="194" t="s">
        <v>182</v>
      </c>
      <c r="B83" s="194"/>
      <c r="C83" s="194"/>
      <c r="D83" s="83" t="s">
        <v>124</v>
      </c>
      <c r="E83" s="141">
        <f>SUM(E79:E82)</f>
        <v>470.66</v>
      </c>
    </row>
    <row r="84" spans="1:5" x14ac:dyDescent="0.25">
      <c r="A84" s="195" t="s">
        <v>31</v>
      </c>
      <c r="B84" s="195"/>
      <c r="C84" s="195" t="s">
        <v>25</v>
      </c>
      <c r="D84" s="195"/>
      <c r="E84" s="142">
        <f>SUM(E21+E49+E57+E76+E83)</f>
        <v>5443.17</v>
      </c>
    </row>
    <row r="85" spans="1:5" ht="30.75" customHeight="1" x14ac:dyDescent="0.25">
      <c r="A85" s="198" t="s">
        <v>261</v>
      </c>
      <c r="B85" s="198"/>
      <c r="C85" s="198"/>
      <c r="D85" s="147"/>
      <c r="E85" s="141">
        <f>E84</f>
        <v>5443.17</v>
      </c>
    </row>
    <row r="86" spans="1:5" x14ac:dyDescent="0.25">
      <c r="A86" s="189" t="s">
        <v>183</v>
      </c>
      <c r="B86" s="189"/>
      <c r="C86" s="189"/>
      <c r="D86" s="189"/>
      <c r="E86" s="189"/>
    </row>
    <row r="87" spans="1:5" x14ac:dyDescent="0.25">
      <c r="A87" s="126">
        <v>6</v>
      </c>
      <c r="B87" s="196" t="s">
        <v>32</v>
      </c>
      <c r="C87" s="201"/>
      <c r="D87" s="201"/>
      <c r="E87" s="133" t="s">
        <v>8</v>
      </c>
    </row>
    <row r="88" spans="1:5" x14ac:dyDescent="0.25">
      <c r="A88" s="126" t="s">
        <v>0</v>
      </c>
      <c r="B88" s="70" t="s">
        <v>33</v>
      </c>
      <c r="C88" s="202">
        <v>0.06</v>
      </c>
      <c r="D88" s="202"/>
      <c r="E88" s="142">
        <f>+E85*C88</f>
        <v>326.58999999999997</v>
      </c>
    </row>
    <row r="89" spans="1:5" x14ac:dyDescent="0.25">
      <c r="A89" s="126" t="s">
        <v>2</v>
      </c>
      <c r="B89" s="70" t="s">
        <v>34</v>
      </c>
      <c r="C89" s="202">
        <v>6.7900000000000002E-2</v>
      </c>
      <c r="D89" s="202"/>
      <c r="E89" s="142">
        <f>C89*(+E85+E88)</f>
        <v>391.77</v>
      </c>
    </row>
    <row r="90" spans="1:5" ht="36" customHeight="1" x14ac:dyDescent="0.25">
      <c r="A90" s="195" t="s">
        <v>3</v>
      </c>
      <c r="B90" s="200" t="s">
        <v>45</v>
      </c>
      <c r="C90" s="200"/>
      <c r="D90" s="84">
        <f>+(100-8.65)/100</f>
        <v>0.91349999999999998</v>
      </c>
      <c r="E90" s="142">
        <f>+E85+E88+E89</f>
        <v>6161.53</v>
      </c>
    </row>
    <row r="91" spans="1:5" x14ac:dyDescent="0.25">
      <c r="A91" s="195"/>
      <c r="B91" s="132" t="s">
        <v>35</v>
      </c>
      <c r="C91" s="73"/>
      <c r="D91" s="73"/>
      <c r="E91" s="148">
        <f>+E90/D90</f>
        <v>6744.97</v>
      </c>
    </row>
    <row r="92" spans="1:5" x14ac:dyDescent="0.25">
      <c r="A92" s="195"/>
      <c r="B92" s="132" t="s">
        <v>36</v>
      </c>
      <c r="C92" s="132"/>
      <c r="D92" s="132"/>
      <c r="E92" s="142"/>
    </row>
    <row r="93" spans="1:5" x14ac:dyDescent="0.25">
      <c r="A93" s="195"/>
      <c r="B93" s="66" t="s">
        <v>226</v>
      </c>
      <c r="C93" s="74"/>
      <c r="D93" s="71">
        <v>6.4999999999999997E-3</v>
      </c>
      <c r="E93" s="142">
        <f>+E91*D93</f>
        <v>43.84</v>
      </c>
    </row>
    <row r="94" spans="1:5" x14ac:dyDescent="0.25">
      <c r="A94" s="195"/>
      <c r="B94" s="66" t="s">
        <v>227</v>
      </c>
      <c r="C94" s="74"/>
      <c r="D94" s="71">
        <v>0.03</v>
      </c>
      <c r="E94" s="142">
        <f>+E91*D94</f>
        <v>202.35</v>
      </c>
    </row>
    <row r="95" spans="1:5" x14ac:dyDescent="0.25">
      <c r="A95" s="195"/>
      <c r="B95" s="149" t="s">
        <v>37</v>
      </c>
      <c r="C95" s="86"/>
      <c r="D95" s="73"/>
      <c r="E95" s="142"/>
    </row>
    <row r="96" spans="1:5" x14ac:dyDescent="0.25">
      <c r="A96" s="195"/>
      <c r="B96" s="149" t="s">
        <v>38</v>
      </c>
      <c r="C96" s="86"/>
      <c r="D96" s="86"/>
      <c r="E96" s="142"/>
    </row>
    <row r="97" spans="1:5" x14ac:dyDescent="0.25">
      <c r="A97" s="195"/>
      <c r="B97" s="66" t="s">
        <v>266</v>
      </c>
      <c r="C97" s="74"/>
      <c r="D97" s="71">
        <v>0.05</v>
      </c>
      <c r="E97" s="142">
        <f>+E91*D97</f>
        <v>337.25</v>
      </c>
    </row>
    <row r="98" spans="1:5" x14ac:dyDescent="0.25">
      <c r="A98" s="126"/>
      <c r="B98" s="73" t="s">
        <v>39</v>
      </c>
      <c r="C98" s="73"/>
      <c r="D98" s="150">
        <f>SUM(D93:D97)</f>
        <v>8.6499999999999994E-2</v>
      </c>
      <c r="E98" s="142">
        <f>SUM(E93:E97)</f>
        <v>583.44000000000005</v>
      </c>
    </row>
    <row r="99" spans="1:5" x14ac:dyDescent="0.25">
      <c r="A99" s="194" t="s">
        <v>40</v>
      </c>
      <c r="B99" s="194"/>
      <c r="C99" s="194"/>
      <c r="D99" s="194"/>
      <c r="E99" s="141">
        <f>E88+E89+E98</f>
        <v>1301.8</v>
      </c>
    </row>
    <row r="100" spans="1:5" x14ac:dyDescent="0.25">
      <c r="A100" s="195" t="s">
        <v>41</v>
      </c>
      <c r="B100" s="195"/>
      <c r="C100" s="195"/>
      <c r="D100" s="195"/>
      <c r="E100" s="133" t="s">
        <v>8</v>
      </c>
    </row>
    <row r="101" spans="1:5" x14ac:dyDescent="0.25">
      <c r="A101" s="126" t="s">
        <v>0</v>
      </c>
      <c r="B101" s="196" t="s">
        <v>42</v>
      </c>
      <c r="C101" s="196"/>
      <c r="D101" s="196"/>
      <c r="E101" s="142">
        <f>+E21</f>
        <v>2204.06</v>
      </c>
    </row>
    <row r="102" spans="1:5" x14ac:dyDescent="0.25">
      <c r="A102" s="126" t="s">
        <v>2</v>
      </c>
      <c r="B102" s="196" t="s">
        <v>184</v>
      </c>
      <c r="C102" s="196"/>
      <c r="D102" s="196"/>
      <c r="E102" s="142">
        <f>E49</f>
        <v>2190.08</v>
      </c>
    </row>
    <row r="103" spans="1:5" x14ac:dyDescent="0.25">
      <c r="A103" s="126" t="s">
        <v>3</v>
      </c>
      <c r="B103" s="196" t="s">
        <v>185</v>
      </c>
      <c r="C103" s="196"/>
      <c r="D103" s="196"/>
      <c r="E103" s="142">
        <f>E57</f>
        <v>157.59</v>
      </c>
    </row>
    <row r="104" spans="1:5" x14ac:dyDescent="0.25">
      <c r="A104" s="126" t="s">
        <v>5</v>
      </c>
      <c r="B104" s="196" t="s">
        <v>186</v>
      </c>
      <c r="C104" s="196"/>
      <c r="D104" s="196"/>
      <c r="E104" s="142">
        <f>E76</f>
        <v>420.78</v>
      </c>
    </row>
    <row r="105" spans="1:5" x14ac:dyDescent="0.25">
      <c r="A105" s="126" t="s">
        <v>17</v>
      </c>
      <c r="B105" s="196" t="s">
        <v>187</v>
      </c>
      <c r="C105" s="196"/>
      <c r="D105" s="196"/>
      <c r="E105" s="142">
        <f>E83</f>
        <v>470.66</v>
      </c>
    </row>
    <row r="106" spans="1:5" x14ac:dyDescent="0.25">
      <c r="A106" s="197" t="s">
        <v>43</v>
      </c>
      <c r="B106" s="197"/>
      <c r="C106" s="197"/>
      <c r="D106" s="80"/>
      <c r="E106" s="142">
        <f>SUM(E101:E105)</f>
        <v>5443.17</v>
      </c>
    </row>
    <row r="107" spans="1:5" x14ac:dyDescent="0.25">
      <c r="A107" s="126" t="s">
        <v>18</v>
      </c>
      <c r="B107" s="196" t="s">
        <v>262</v>
      </c>
      <c r="C107" s="196"/>
      <c r="D107" s="196"/>
      <c r="E107" s="142">
        <f>+E99</f>
        <v>1301.8</v>
      </c>
    </row>
    <row r="108" spans="1:5" x14ac:dyDescent="0.25">
      <c r="A108" s="198" t="s">
        <v>44</v>
      </c>
      <c r="B108" s="198"/>
      <c r="C108" s="198"/>
      <c r="D108" s="198"/>
      <c r="E108" s="141">
        <f>E106+E107</f>
        <v>6744.97</v>
      </c>
    </row>
    <row r="109" spans="1:5" x14ac:dyDescent="0.25">
      <c r="A109" s="199" t="s">
        <v>213</v>
      </c>
      <c r="B109" s="199"/>
      <c r="C109" s="199"/>
      <c r="D109" s="199"/>
      <c r="E109" s="151">
        <f>E108*2</f>
        <v>13489.94</v>
      </c>
    </row>
    <row r="110" spans="1:5" ht="2.25" customHeight="1" x14ac:dyDescent="0.25">
      <c r="A110" s="191" t="s">
        <v>222</v>
      </c>
      <c r="B110" s="192"/>
      <c r="C110" s="192"/>
      <c r="D110" s="192"/>
      <c r="E110" s="193"/>
    </row>
  </sheetData>
  <mergeCells count="102">
    <mergeCell ref="C6:E6"/>
    <mergeCell ref="A1:E1"/>
    <mergeCell ref="A2:E2"/>
    <mergeCell ref="C3:E3"/>
    <mergeCell ref="C4:E4"/>
    <mergeCell ref="C5:E5"/>
    <mergeCell ref="B15:D15"/>
    <mergeCell ref="C16:D16"/>
    <mergeCell ref="A7:E7"/>
    <mergeCell ref="A8:E8"/>
    <mergeCell ref="A9:E9"/>
    <mergeCell ref="C10:E10"/>
    <mergeCell ref="A37:C37"/>
    <mergeCell ref="B38:D38"/>
    <mergeCell ref="A44:D44"/>
    <mergeCell ref="B24:C24"/>
    <mergeCell ref="B25:C25"/>
    <mergeCell ref="B29:C29"/>
    <mergeCell ref="B30:C30"/>
    <mergeCell ref="B31:C31"/>
    <mergeCell ref="B32:C32"/>
    <mergeCell ref="A85:C85"/>
    <mergeCell ref="B87:D87"/>
    <mergeCell ref="C88:D88"/>
    <mergeCell ref="C89:D89"/>
    <mergeCell ref="A86:E86"/>
    <mergeCell ref="C18:D18"/>
    <mergeCell ref="B19:D19"/>
    <mergeCell ref="C12:E12"/>
    <mergeCell ref="A72:D72"/>
    <mergeCell ref="B46:D46"/>
    <mergeCell ref="A49:C49"/>
    <mergeCell ref="B51:D51"/>
    <mergeCell ref="A57:C57"/>
    <mergeCell ref="B59:D59"/>
    <mergeCell ref="A66:C66"/>
    <mergeCell ref="A67:D67"/>
    <mergeCell ref="B68:D68"/>
    <mergeCell ref="A71:C71"/>
    <mergeCell ref="A45:D45"/>
    <mergeCell ref="A21:D21"/>
    <mergeCell ref="B23:D23"/>
    <mergeCell ref="A26:C26"/>
    <mergeCell ref="A27:E27"/>
    <mergeCell ref="B28:D28"/>
    <mergeCell ref="B78:D78"/>
    <mergeCell ref="A83:C83"/>
    <mergeCell ref="A84:B84"/>
    <mergeCell ref="C84:D84"/>
    <mergeCell ref="A77:E77"/>
    <mergeCell ref="B79:D79"/>
    <mergeCell ref="B80:D80"/>
    <mergeCell ref="B81:D81"/>
    <mergeCell ref="B82:D82"/>
    <mergeCell ref="B54:C54"/>
    <mergeCell ref="B55:C55"/>
    <mergeCell ref="B33:C33"/>
    <mergeCell ref="B34:C34"/>
    <mergeCell ref="B35:C35"/>
    <mergeCell ref="B36:C36"/>
    <mergeCell ref="B47:D47"/>
    <mergeCell ref="B69:D69"/>
    <mergeCell ref="A110:E110"/>
    <mergeCell ref="A99:D99"/>
    <mergeCell ref="A100:D100"/>
    <mergeCell ref="B101:D101"/>
    <mergeCell ref="B102:D102"/>
    <mergeCell ref="B103:D103"/>
    <mergeCell ref="B104:D104"/>
    <mergeCell ref="B105:D105"/>
    <mergeCell ref="A106:C106"/>
    <mergeCell ref="B107:D107"/>
    <mergeCell ref="A108:D108"/>
    <mergeCell ref="A109:D109"/>
    <mergeCell ref="A90:A97"/>
    <mergeCell ref="B90:C90"/>
    <mergeCell ref="B73:D73"/>
    <mergeCell ref="A76:C76"/>
    <mergeCell ref="B70:C70"/>
    <mergeCell ref="B65:C65"/>
    <mergeCell ref="B74:C74"/>
    <mergeCell ref="B75:C75"/>
    <mergeCell ref="B11:D11"/>
    <mergeCell ref="B13:D13"/>
    <mergeCell ref="B39:C39"/>
    <mergeCell ref="B40:C40"/>
    <mergeCell ref="B41:C41"/>
    <mergeCell ref="B42:C42"/>
    <mergeCell ref="B43:C43"/>
    <mergeCell ref="B60:C60"/>
    <mergeCell ref="B61:C61"/>
    <mergeCell ref="B62:C62"/>
    <mergeCell ref="B63:C63"/>
    <mergeCell ref="B64:C64"/>
    <mergeCell ref="B56:C56"/>
    <mergeCell ref="A14:E14"/>
    <mergeCell ref="A22:E22"/>
    <mergeCell ref="A50:E50"/>
    <mergeCell ref="A58:E58"/>
    <mergeCell ref="B48:D48"/>
    <mergeCell ref="B52:C52"/>
    <mergeCell ref="B53:C53"/>
  </mergeCells>
  <hyperlinks>
    <hyperlink ref="B36" r:id="rId1" display="08 - Sebrae 0,3% ou 0,6% - IN nº 03, MPS/SRP/2005, Anexo II e III ver código da Tabela" xr:uid="{00000000-0004-0000-03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0"/>
  <sheetViews>
    <sheetView zoomScale="85" zoomScaleNormal="85" workbookViewId="0">
      <selection activeCell="B42" sqref="B42:C42"/>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211" t="s">
        <v>265</v>
      </c>
      <c r="B1" s="211"/>
      <c r="C1" s="211"/>
      <c r="D1" s="211"/>
      <c r="E1" s="211"/>
    </row>
    <row r="2" spans="1:5" x14ac:dyDescent="0.25">
      <c r="A2" s="212" t="s">
        <v>188</v>
      </c>
      <c r="B2" s="212"/>
      <c r="C2" s="212"/>
      <c r="D2" s="212"/>
      <c r="E2" s="212"/>
    </row>
    <row r="3" spans="1:5" x14ac:dyDescent="0.25">
      <c r="A3" s="127" t="s">
        <v>0</v>
      </c>
      <c r="B3" s="129" t="s">
        <v>1</v>
      </c>
      <c r="C3" s="213" t="s">
        <v>281</v>
      </c>
      <c r="D3" s="213"/>
      <c r="E3" s="213"/>
    </row>
    <row r="4" spans="1:5" x14ac:dyDescent="0.25">
      <c r="A4" s="127" t="s">
        <v>2</v>
      </c>
      <c r="B4" s="129" t="s">
        <v>126</v>
      </c>
      <c r="C4" s="210" t="s">
        <v>188</v>
      </c>
      <c r="D4" s="210"/>
      <c r="E4" s="210"/>
    </row>
    <row r="5" spans="1:5" ht="25.5" x14ac:dyDescent="0.25">
      <c r="A5" s="127" t="s">
        <v>3</v>
      </c>
      <c r="B5" s="129" t="s">
        <v>4</v>
      </c>
      <c r="C5" s="210" t="s">
        <v>282</v>
      </c>
      <c r="D5" s="210"/>
      <c r="E5" s="210"/>
    </row>
    <row r="6" spans="1:5" x14ac:dyDescent="0.25">
      <c r="A6" s="127" t="s">
        <v>5</v>
      </c>
      <c r="B6" s="129" t="s">
        <v>137</v>
      </c>
      <c r="C6" s="210">
        <v>12</v>
      </c>
      <c r="D6" s="210"/>
      <c r="E6" s="210"/>
    </row>
    <row r="7" spans="1:5" x14ac:dyDescent="0.25">
      <c r="A7" s="215" t="s">
        <v>6</v>
      </c>
      <c r="B7" s="215"/>
      <c r="C7" s="215"/>
      <c r="D7" s="215"/>
      <c r="E7" s="215"/>
    </row>
    <row r="8" spans="1:5" x14ac:dyDescent="0.25">
      <c r="A8" s="216" t="s">
        <v>7</v>
      </c>
      <c r="B8" s="216"/>
      <c r="C8" s="216"/>
      <c r="D8" s="216"/>
      <c r="E8" s="216"/>
    </row>
    <row r="9" spans="1:5" x14ac:dyDescent="0.25">
      <c r="A9" s="216" t="s">
        <v>253</v>
      </c>
      <c r="B9" s="215"/>
      <c r="C9" s="215"/>
      <c r="D9" s="215"/>
      <c r="E9" s="215"/>
    </row>
    <row r="10" spans="1:5" ht="25.5" x14ac:dyDescent="0.25">
      <c r="A10" s="127">
        <v>1</v>
      </c>
      <c r="B10" s="53" t="s">
        <v>125</v>
      </c>
      <c r="C10" s="207" t="s">
        <v>188</v>
      </c>
      <c r="D10" s="207"/>
      <c r="E10" s="207"/>
    </row>
    <row r="11" spans="1:5" x14ac:dyDescent="0.25">
      <c r="A11" s="127">
        <v>2</v>
      </c>
      <c r="B11" s="187" t="s">
        <v>9</v>
      </c>
      <c r="C11" s="187"/>
      <c r="D11" s="187"/>
      <c r="E11" s="130">
        <v>1695.43</v>
      </c>
    </row>
    <row r="12" spans="1:5" x14ac:dyDescent="0.25">
      <c r="A12" s="127">
        <v>3</v>
      </c>
      <c r="B12" s="53" t="s">
        <v>10</v>
      </c>
      <c r="C12" s="207" t="s">
        <v>268</v>
      </c>
      <c r="D12" s="207"/>
      <c r="E12" s="207"/>
    </row>
    <row r="13" spans="1:5" x14ac:dyDescent="0.25">
      <c r="A13" s="127">
        <v>4</v>
      </c>
      <c r="B13" s="188" t="s">
        <v>11</v>
      </c>
      <c r="C13" s="188"/>
      <c r="D13" s="188"/>
      <c r="E13" s="131">
        <v>45352</v>
      </c>
    </row>
    <row r="14" spans="1:5" x14ac:dyDescent="0.25">
      <c r="A14" s="189" t="s">
        <v>12</v>
      </c>
      <c r="B14" s="189"/>
      <c r="C14" s="189"/>
      <c r="D14" s="189"/>
      <c r="E14" s="189"/>
    </row>
    <row r="15" spans="1:5" x14ac:dyDescent="0.25">
      <c r="A15" s="126">
        <v>1</v>
      </c>
      <c r="B15" s="196" t="s">
        <v>13</v>
      </c>
      <c r="C15" s="201"/>
      <c r="D15" s="201"/>
      <c r="E15" s="133" t="s">
        <v>8</v>
      </c>
    </row>
    <row r="16" spans="1:5" x14ac:dyDescent="0.25">
      <c r="A16" s="134" t="s">
        <v>0</v>
      </c>
      <c r="B16" s="62" t="s">
        <v>14</v>
      </c>
      <c r="C16" s="214"/>
      <c r="D16" s="220"/>
      <c r="E16" s="109">
        <f>+E11</f>
        <v>1695.43</v>
      </c>
    </row>
    <row r="17" spans="1:5" x14ac:dyDescent="0.25">
      <c r="A17" s="134" t="s">
        <v>2</v>
      </c>
      <c r="B17" s="65" t="s">
        <v>221</v>
      </c>
      <c r="C17" s="135">
        <v>0</v>
      </c>
      <c r="D17" s="152">
        <v>1302</v>
      </c>
      <c r="E17" s="137">
        <f>D17*C17</f>
        <v>0</v>
      </c>
    </row>
    <row r="18" spans="1:5" ht="17.25" customHeight="1" x14ac:dyDescent="0.25">
      <c r="A18" s="61" t="s">
        <v>3</v>
      </c>
      <c r="B18" s="62" t="s">
        <v>16</v>
      </c>
      <c r="C18" s="125">
        <v>0.25</v>
      </c>
      <c r="D18" s="153">
        <v>15.21</v>
      </c>
      <c r="E18" s="137">
        <f>((1.82*8)*D18)</f>
        <v>221.46</v>
      </c>
    </row>
    <row r="19" spans="1:5" ht="14.25" customHeight="1" x14ac:dyDescent="0.25">
      <c r="A19" s="134" t="s">
        <v>124</v>
      </c>
      <c r="B19" s="205" t="s">
        <v>228</v>
      </c>
      <c r="C19" s="206"/>
      <c r="D19" s="221"/>
      <c r="E19" s="138">
        <f>SUM(E16:E18)</f>
        <v>1916.89</v>
      </c>
    </row>
    <row r="20" spans="1:5" ht="19.5" customHeight="1" x14ac:dyDescent="0.25">
      <c r="A20" s="134" t="s">
        <v>5</v>
      </c>
      <c r="B20" s="62" t="s">
        <v>15</v>
      </c>
      <c r="C20" s="139">
        <v>0.3</v>
      </c>
      <c r="D20" s="140">
        <f>E19</f>
        <v>1916.89</v>
      </c>
      <c r="E20" s="137">
        <f>E19*C20</f>
        <v>575.07000000000005</v>
      </c>
    </row>
    <row r="21" spans="1:5" x14ac:dyDescent="0.25">
      <c r="A21" s="194" t="s">
        <v>20</v>
      </c>
      <c r="B21" s="194"/>
      <c r="C21" s="194"/>
      <c r="D21" s="194"/>
      <c r="E21" s="141">
        <f>SUM(E19:E20)</f>
        <v>2491.96</v>
      </c>
    </row>
    <row r="22" spans="1:5" x14ac:dyDescent="0.25">
      <c r="A22" s="189" t="s">
        <v>46</v>
      </c>
      <c r="B22" s="189"/>
      <c r="C22" s="189"/>
      <c r="D22" s="189"/>
      <c r="E22" s="189"/>
    </row>
    <row r="23" spans="1:5" x14ac:dyDescent="0.25">
      <c r="A23" s="126" t="s">
        <v>138</v>
      </c>
      <c r="B23" s="196" t="s">
        <v>139</v>
      </c>
      <c r="C23" s="201"/>
      <c r="D23" s="201"/>
      <c r="E23" s="133" t="s">
        <v>8</v>
      </c>
    </row>
    <row r="24" spans="1:5" x14ac:dyDescent="0.25">
      <c r="A24" s="128" t="s">
        <v>0</v>
      </c>
      <c r="B24" s="186" t="s">
        <v>27</v>
      </c>
      <c r="C24" s="186"/>
      <c r="D24" s="71">
        <f>1/12</f>
        <v>8.3299999999999999E-2</v>
      </c>
      <c r="E24" s="142">
        <f>ROUND(+$E$21*D24,2)</f>
        <v>207.58</v>
      </c>
    </row>
    <row r="25" spans="1:5" x14ac:dyDescent="0.25">
      <c r="A25" s="128" t="s">
        <v>2</v>
      </c>
      <c r="B25" s="186" t="s">
        <v>140</v>
      </c>
      <c r="C25" s="186"/>
      <c r="D25" s="71">
        <v>0.1111</v>
      </c>
      <c r="E25" s="142">
        <f>ROUND(+$E$21*D25,2)</f>
        <v>276.86</v>
      </c>
    </row>
    <row r="26" spans="1:5" x14ac:dyDescent="0.25">
      <c r="A26" s="194" t="s">
        <v>25</v>
      </c>
      <c r="B26" s="194"/>
      <c r="C26" s="208"/>
      <c r="D26" s="72">
        <f>SUM(D24:D25)</f>
        <v>0.19439999999999999</v>
      </c>
      <c r="E26" s="141">
        <f>SUM(E24:E25)</f>
        <v>484.44</v>
      </c>
    </row>
    <row r="27" spans="1:5" ht="29.25" customHeight="1" x14ac:dyDescent="0.25">
      <c r="A27" s="209" t="s">
        <v>141</v>
      </c>
      <c r="B27" s="209"/>
      <c r="C27" s="209"/>
      <c r="D27" s="209"/>
      <c r="E27" s="209"/>
    </row>
    <row r="28" spans="1:5" x14ac:dyDescent="0.25">
      <c r="A28" s="126" t="s">
        <v>142</v>
      </c>
      <c r="B28" s="196" t="s">
        <v>23</v>
      </c>
      <c r="C28" s="201"/>
      <c r="D28" s="201"/>
      <c r="E28" s="133" t="s">
        <v>8</v>
      </c>
    </row>
    <row r="29" spans="1:5" x14ac:dyDescent="0.25">
      <c r="A29" s="128" t="s">
        <v>0</v>
      </c>
      <c r="B29" s="188" t="s">
        <v>143</v>
      </c>
      <c r="C29" s="188"/>
      <c r="D29" s="71">
        <v>0.2</v>
      </c>
      <c r="E29" s="142">
        <f>(E21+E26)*D29</f>
        <v>595.28</v>
      </c>
    </row>
    <row r="30" spans="1:5" x14ac:dyDescent="0.25">
      <c r="A30" s="128" t="s">
        <v>2</v>
      </c>
      <c r="B30" s="188" t="s">
        <v>144</v>
      </c>
      <c r="C30" s="188"/>
      <c r="D30" s="71">
        <v>1.4999999999999999E-2</v>
      </c>
      <c r="E30" s="142">
        <f>(E21+E26)*D30</f>
        <v>44.65</v>
      </c>
    </row>
    <row r="31" spans="1:5" x14ac:dyDescent="0.25">
      <c r="A31" s="128" t="s">
        <v>3</v>
      </c>
      <c r="B31" s="188" t="s">
        <v>259</v>
      </c>
      <c r="C31" s="188"/>
      <c r="D31" s="71">
        <v>0.01</v>
      </c>
      <c r="E31" s="142">
        <f>(E21+E26)*D31</f>
        <v>29.76</v>
      </c>
    </row>
    <row r="32" spans="1:5" x14ac:dyDescent="0.25">
      <c r="A32" s="128" t="s">
        <v>5</v>
      </c>
      <c r="B32" s="188" t="s">
        <v>146</v>
      </c>
      <c r="C32" s="188"/>
      <c r="D32" s="71">
        <v>2E-3</v>
      </c>
      <c r="E32" s="142">
        <f>(E21+E26)*D32</f>
        <v>5.95</v>
      </c>
    </row>
    <row r="33" spans="1:6" x14ac:dyDescent="0.25">
      <c r="A33" s="128" t="s">
        <v>17</v>
      </c>
      <c r="B33" s="188" t="s">
        <v>260</v>
      </c>
      <c r="C33" s="188"/>
      <c r="D33" s="71">
        <v>2.5000000000000001E-2</v>
      </c>
      <c r="E33" s="142">
        <f>(E21+E26)*D33</f>
        <v>74.41</v>
      </c>
    </row>
    <row r="34" spans="1:6" x14ac:dyDescent="0.25">
      <c r="A34" s="128" t="s">
        <v>18</v>
      </c>
      <c r="B34" s="188" t="s">
        <v>148</v>
      </c>
      <c r="C34" s="188"/>
      <c r="D34" s="71">
        <v>0.08</v>
      </c>
      <c r="E34" s="142">
        <f>(E21+E26)*D34</f>
        <v>238.11</v>
      </c>
    </row>
    <row r="35" spans="1:6" x14ac:dyDescent="0.25">
      <c r="A35" s="128" t="s">
        <v>19</v>
      </c>
      <c r="B35" s="188" t="s">
        <v>149</v>
      </c>
      <c r="C35" s="188"/>
      <c r="D35" s="71">
        <v>0.03</v>
      </c>
      <c r="E35" s="142">
        <f>(E21+E26)*D35</f>
        <v>89.29</v>
      </c>
    </row>
    <row r="36" spans="1:6" x14ac:dyDescent="0.25">
      <c r="A36" s="143" t="s">
        <v>24</v>
      </c>
      <c r="B36" s="190" t="s">
        <v>150</v>
      </c>
      <c r="C36" s="190"/>
      <c r="D36" s="79">
        <v>6.0000000000000001E-3</v>
      </c>
      <c r="E36" s="144">
        <f>(E21+E26)*D36</f>
        <v>17.86</v>
      </c>
    </row>
    <row r="37" spans="1:6" x14ac:dyDescent="0.25">
      <c r="A37" s="194" t="s">
        <v>25</v>
      </c>
      <c r="B37" s="194"/>
      <c r="C37" s="208"/>
      <c r="D37" s="72">
        <f>SUM(D29:D36)</f>
        <v>0.36799999999999999</v>
      </c>
      <c r="E37" s="141">
        <f>SUM(E29:E36)</f>
        <v>1095.31</v>
      </c>
    </row>
    <row r="38" spans="1:6" x14ac:dyDescent="0.25">
      <c r="A38" s="126" t="s">
        <v>151</v>
      </c>
      <c r="B38" s="196" t="s">
        <v>152</v>
      </c>
      <c r="C38" s="201"/>
      <c r="D38" s="201"/>
      <c r="E38" s="133" t="s">
        <v>8</v>
      </c>
    </row>
    <row r="39" spans="1:6" x14ac:dyDescent="0.25">
      <c r="A39" s="128" t="s">
        <v>0</v>
      </c>
      <c r="B39" s="186" t="s">
        <v>153</v>
      </c>
      <c r="C39" s="186"/>
      <c r="D39" s="121">
        <v>0</v>
      </c>
      <c r="E39" s="107">
        <v>129.66999999999999</v>
      </c>
      <c r="F39" t="s">
        <v>280</v>
      </c>
    </row>
    <row r="40" spans="1:6" x14ac:dyDescent="0.25">
      <c r="A40" s="128" t="s">
        <v>2</v>
      </c>
      <c r="B40" s="186" t="s">
        <v>154</v>
      </c>
      <c r="C40" s="186"/>
      <c r="D40" s="108">
        <v>41</v>
      </c>
      <c r="E40" s="109">
        <f>(D40*15.21)-(D40*15.21*1%)</f>
        <v>617.37</v>
      </c>
    </row>
    <row r="41" spans="1:6" x14ac:dyDescent="0.25">
      <c r="A41" s="128" t="s">
        <v>3</v>
      </c>
      <c r="B41" s="186" t="s">
        <v>189</v>
      </c>
      <c r="C41" s="186"/>
      <c r="D41" s="111"/>
      <c r="E41" s="109">
        <f>((E11*16%) -(E11*1%))/12</f>
        <v>21.19</v>
      </c>
    </row>
    <row r="42" spans="1:6" x14ac:dyDescent="0.25">
      <c r="A42" s="128" t="s">
        <v>5</v>
      </c>
      <c r="B42" s="186" t="s">
        <v>155</v>
      </c>
      <c r="C42" s="186"/>
      <c r="D42" s="104">
        <v>13.38</v>
      </c>
      <c r="E42" s="107">
        <f>D42</f>
        <v>13.38</v>
      </c>
    </row>
    <row r="43" spans="1:6" x14ac:dyDescent="0.25">
      <c r="A43" s="128" t="s">
        <v>17</v>
      </c>
      <c r="B43" s="186" t="s">
        <v>250</v>
      </c>
      <c r="C43" s="186"/>
      <c r="D43" s="104">
        <v>11.21</v>
      </c>
      <c r="E43" s="107">
        <f t="shared" ref="E43" si="0">D43</f>
        <v>11.21</v>
      </c>
      <c r="F43" s="159"/>
    </row>
    <row r="44" spans="1:6" ht="15.6" customHeight="1" x14ac:dyDescent="0.25">
      <c r="A44" s="194" t="s">
        <v>21</v>
      </c>
      <c r="B44" s="194"/>
      <c r="C44" s="194"/>
      <c r="D44" s="194"/>
      <c r="E44" s="141">
        <f>SUM(E39:E43)</f>
        <v>792.82</v>
      </c>
    </row>
    <row r="45" spans="1:6" x14ac:dyDescent="0.25">
      <c r="A45" s="189" t="s">
        <v>156</v>
      </c>
      <c r="B45" s="189"/>
      <c r="C45" s="189"/>
      <c r="D45" s="189"/>
      <c r="E45" s="142"/>
    </row>
    <row r="46" spans="1:6" x14ac:dyDescent="0.25">
      <c r="A46" s="126" t="s">
        <v>138</v>
      </c>
      <c r="B46" s="196" t="s">
        <v>157</v>
      </c>
      <c r="C46" s="201"/>
      <c r="D46" s="201"/>
      <c r="E46" s="145">
        <f>E26</f>
        <v>484.44</v>
      </c>
    </row>
    <row r="47" spans="1:6" x14ac:dyDescent="0.25">
      <c r="A47" s="126" t="s">
        <v>142</v>
      </c>
      <c r="B47" s="186" t="s">
        <v>158</v>
      </c>
      <c r="C47" s="186"/>
      <c r="D47" s="186"/>
      <c r="E47" s="142">
        <f>E37</f>
        <v>1095.31</v>
      </c>
    </row>
    <row r="48" spans="1:6" x14ac:dyDescent="0.25">
      <c r="A48" s="126" t="s">
        <v>151</v>
      </c>
      <c r="B48" s="186" t="s">
        <v>159</v>
      </c>
      <c r="C48" s="186"/>
      <c r="D48" s="186"/>
      <c r="E48" s="142">
        <f>E44</f>
        <v>792.82</v>
      </c>
    </row>
    <row r="49" spans="1:6" x14ac:dyDescent="0.25">
      <c r="A49" s="194" t="s">
        <v>25</v>
      </c>
      <c r="B49" s="194"/>
      <c r="C49" s="208"/>
      <c r="D49" s="81" t="s">
        <v>124</v>
      </c>
      <c r="E49" s="141">
        <f>SUM(E46:E48)</f>
        <v>2372.5700000000002</v>
      </c>
    </row>
    <row r="50" spans="1:6" x14ac:dyDescent="0.25">
      <c r="A50" s="189" t="s">
        <v>160</v>
      </c>
      <c r="B50" s="189"/>
      <c r="C50" s="189"/>
      <c r="D50" s="189"/>
      <c r="E50" s="189"/>
    </row>
    <row r="51" spans="1:6" x14ac:dyDescent="0.25">
      <c r="A51" s="126" t="s">
        <v>161</v>
      </c>
      <c r="B51" s="196" t="s">
        <v>28</v>
      </c>
      <c r="C51" s="201"/>
      <c r="D51" s="201"/>
      <c r="E51" s="133" t="s">
        <v>8</v>
      </c>
    </row>
    <row r="52" spans="1:6" x14ac:dyDescent="0.25">
      <c r="A52" s="128" t="s">
        <v>0</v>
      </c>
      <c r="B52" s="186" t="s">
        <v>162</v>
      </c>
      <c r="C52" s="186"/>
      <c r="D52" s="71">
        <v>4.5999999999999999E-3</v>
      </c>
      <c r="E52" s="142">
        <f t="shared" ref="E52:E55" si="1">ROUND(+D52*$E$21,2)</f>
        <v>11.46</v>
      </c>
    </row>
    <row r="53" spans="1:6" x14ac:dyDescent="0.25">
      <c r="A53" s="128" t="s">
        <v>2</v>
      </c>
      <c r="B53" s="186" t="s">
        <v>163</v>
      </c>
      <c r="C53" s="186"/>
      <c r="D53" s="71">
        <f>D34*D52</f>
        <v>4.0000000000000002E-4</v>
      </c>
      <c r="E53" s="142">
        <f t="shared" si="1"/>
        <v>1</v>
      </c>
    </row>
    <row r="54" spans="1:6" x14ac:dyDescent="0.25">
      <c r="A54" s="128" t="s">
        <v>3</v>
      </c>
      <c r="B54" s="188" t="s">
        <v>29</v>
      </c>
      <c r="C54" s="188"/>
      <c r="D54" s="71">
        <v>1.9400000000000001E-2</v>
      </c>
      <c r="E54" s="142">
        <f t="shared" si="1"/>
        <v>48.34</v>
      </c>
    </row>
    <row r="55" spans="1:6" x14ac:dyDescent="0.25">
      <c r="A55" s="128" t="s">
        <v>5</v>
      </c>
      <c r="B55" s="186" t="s">
        <v>164</v>
      </c>
      <c r="C55" s="186"/>
      <c r="D55" s="71">
        <f>D37*D54</f>
        <v>7.1000000000000004E-3</v>
      </c>
      <c r="E55" s="142">
        <f t="shared" si="1"/>
        <v>17.690000000000001</v>
      </c>
    </row>
    <row r="56" spans="1:6" ht="33" customHeight="1" x14ac:dyDescent="0.25">
      <c r="A56" s="128" t="s">
        <v>17</v>
      </c>
      <c r="B56" s="186" t="s">
        <v>229</v>
      </c>
      <c r="C56" s="186"/>
      <c r="D56" s="71">
        <f>4%</f>
        <v>0.04</v>
      </c>
      <c r="E56" s="142">
        <f>ROUND(+D56*$E$21,2)</f>
        <v>99.68</v>
      </c>
    </row>
    <row r="57" spans="1:6" x14ac:dyDescent="0.25">
      <c r="A57" s="194" t="s">
        <v>25</v>
      </c>
      <c r="B57" s="194"/>
      <c r="C57" s="194"/>
      <c r="D57" s="83">
        <f>SUM(D52:D56)</f>
        <v>7.1499999999999994E-2</v>
      </c>
      <c r="E57" s="141">
        <f>SUM(E52:E56)</f>
        <v>178.17</v>
      </c>
    </row>
    <row r="58" spans="1:6" x14ac:dyDescent="0.25">
      <c r="A58" s="189" t="s">
        <v>165</v>
      </c>
      <c r="B58" s="189"/>
      <c r="C58" s="189"/>
      <c r="D58" s="189"/>
      <c r="E58" s="189"/>
    </row>
    <row r="59" spans="1:6" x14ac:dyDescent="0.25">
      <c r="A59" s="126" t="s">
        <v>22</v>
      </c>
      <c r="B59" s="189" t="s">
        <v>166</v>
      </c>
      <c r="C59" s="189"/>
      <c r="D59" s="189"/>
      <c r="E59" s="133" t="s">
        <v>8</v>
      </c>
    </row>
    <row r="60" spans="1:6" x14ac:dyDescent="0.25">
      <c r="A60" s="128" t="s">
        <v>0</v>
      </c>
      <c r="B60" s="186" t="s">
        <v>167</v>
      </c>
      <c r="C60" s="186"/>
      <c r="D60" s="71">
        <f>((1+1/3)/12)/12</f>
        <v>9.2999999999999992E-3</v>
      </c>
      <c r="E60" s="142">
        <f>(E21+E49+E57+E79)*D60</f>
        <v>47.74</v>
      </c>
    </row>
    <row r="61" spans="1:6" x14ac:dyDescent="0.25">
      <c r="A61" s="128" t="s">
        <v>2</v>
      </c>
      <c r="B61" s="186" t="s">
        <v>168</v>
      </c>
      <c r="C61" s="186"/>
      <c r="D61" s="71">
        <v>1.66E-2</v>
      </c>
      <c r="E61" s="142">
        <f>(E21+E49+E57+E79)*D61</f>
        <v>85.21</v>
      </c>
      <c r="F61" t="s">
        <v>240</v>
      </c>
    </row>
    <row r="62" spans="1:6" x14ac:dyDescent="0.25">
      <c r="A62" s="128" t="s">
        <v>3</v>
      </c>
      <c r="B62" s="186" t="s">
        <v>169</v>
      </c>
      <c r="C62" s="186"/>
      <c r="D62" s="71">
        <f>(5/30)*(1/12)*6.24%*95.04%</f>
        <v>8.0000000000000004E-4</v>
      </c>
      <c r="E62" s="142">
        <f>(E21+E49+E57+E79)*D62</f>
        <v>4.1100000000000003</v>
      </c>
      <c r="F62" t="s">
        <v>241</v>
      </c>
    </row>
    <row r="63" spans="1:6" x14ac:dyDescent="0.25">
      <c r="A63" s="128" t="s">
        <v>5</v>
      </c>
      <c r="B63" s="186" t="s">
        <v>170</v>
      </c>
      <c r="C63" s="186"/>
      <c r="D63" s="71">
        <f>(1/30)*(1/12)</f>
        <v>2.8E-3</v>
      </c>
      <c r="E63" s="142">
        <f>(E21+E49+E57+E79)*D63</f>
        <v>14.37</v>
      </c>
      <c r="F63" t="s">
        <v>242</v>
      </c>
    </row>
    <row r="64" spans="1:6" x14ac:dyDescent="0.25">
      <c r="A64" s="128" t="s">
        <v>17</v>
      </c>
      <c r="B64" s="186" t="s">
        <v>171</v>
      </c>
      <c r="C64" s="186"/>
      <c r="D64" s="71">
        <f>(0.91/30)*(1/12)</f>
        <v>2.5000000000000001E-3</v>
      </c>
      <c r="E64" s="142">
        <f>(E21+E49+E57+E79)*D64</f>
        <v>12.83</v>
      </c>
      <c r="F64" t="s">
        <v>243</v>
      </c>
    </row>
    <row r="65" spans="1:7" x14ac:dyDescent="0.25">
      <c r="A65" s="128" t="s">
        <v>18</v>
      </c>
      <c r="B65" s="185" t="s">
        <v>263</v>
      </c>
      <c r="C65" s="185"/>
      <c r="D65" s="146">
        <f>(7/30)*(1/24)</f>
        <v>9.7000000000000003E-3</v>
      </c>
      <c r="E65" s="142">
        <f>(E21+E49+E57+E79)*D65</f>
        <v>49.79</v>
      </c>
      <c r="F65" s="113" t="s">
        <v>244</v>
      </c>
    </row>
    <row r="66" spans="1:7" x14ac:dyDescent="0.25">
      <c r="A66" s="194" t="s">
        <v>172</v>
      </c>
      <c r="B66" s="194"/>
      <c r="C66" s="194"/>
      <c r="D66" s="83">
        <f>SUM(D60:D65)</f>
        <v>4.1700000000000001E-2</v>
      </c>
      <c r="E66" s="141">
        <f>SUM(E60:E65)</f>
        <v>214.05</v>
      </c>
    </row>
    <row r="67" spans="1:7" x14ac:dyDescent="0.25">
      <c r="A67" s="189"/>
      <c r="B67" s="189"/>
      <c r="C67" s="189"/>
      <c r="D67" s="189"/>
      <c r="E67" s="142"/>
    </row>
    <row r="68" spans="1:7" x14ac:dyDescent="0.25">
      <c r="A68" s="126" t="s">
        <v>124</v>
      </c>
      <c r="B68" s="196" t="s">
        <v>173</v>
      </c>
      <c r="C68" s="201"/>
      <c r="D68" s="201"/>
      <c r="E68" s="133" t="s">
        <v>8</v>
      </c>
    </row>
    <row r="69" spans="1:7" x14ac:dyDescent="0.25">
      <c r="A69" s="128" t="s">
        <v>0</v>
      </c>
      <c r="B69" s="186" t="s">
        <v>264</v>
      </c>
      <c r="C69" s="186"/>
      <c r="D69" s="186"/>
      <c r="E69" s="142">
        <f>(7.28*1.5)*(15.21)</f>
        <v>166.09</v>
      </c>
      <c r="G69" s="106"/>
    </row>
    <row r="70" spans="1:7" x14ac:dyDescent="0.25">
      <c r="A70" s="128" t="s">
        <v>2</v>
      </c>
      <c r="B70" s="183" t="s">
        <v>279</v>
      </c>
      <c r="C70" s="184"/>
      <c r="D70" s="158">
        <f>D37</f>
        <v>0.36799999999999999</v>
      </c>
      <c r="E70" s="142">
        <f>D70*E69</f>
        <v>61.12</v>
      </c>
      <c r="G70" s="106"/>
    </row>
    <row r="71" spans="1:7" x14ac:dyDescent="0.25">
      <c r="A71" s="194" t="s">
        <v>25</v>
      </c>
      <c r="B71" s="194"/>
      <c r="C71" s="194"/>
      <c r="D71" s="72"/>
      <c r="E71" s="141">
        <f>SUM(E69:E70)</f>
        <v>227.21</v>
      </c>
    </row>
    <row r="72" spans="1:7" x14ac:dyDescent="0.25">
      <c r="A72" s="189" t="s">
        <v>175</v>
      </c>
      <c r="B72" s="189"/>
      <c r="C72" s="189"/>
      <c r="D72" s="189"/>
      <c r="E72" s="142"/>
    </row>
    <row r="73" spans="1:7" x14ac:dyDescent="0.25">
      <c r="A73" s="126">
        <v>4</v>
      </c>
      <c r="B73" s="196" t="s">
        <v>30</v>
      </c>
      <c r="C73" s="201"/>
      <c r="D73" s="201"/>
      <c r="E73" s="133" t="s">
        <v>8</v>
      </c>
    </row>
    <row r="74" spans="1:7" x14ac:dyDescent="0.25">
      <c r="A74" s="128" t="s">
        <v>22</v>
      </c>
      <c r="B74" s="186" t="s">
        <v>166</v>
      </c>
      <c r="C74" s="186"/>
      <c r="D74" s="71">
        <f>D66</f>
        <v>4.1700000000000001E-2</v>
      </c>
      <c r="E74" s="142">
        <f>E66</f>
        <v>214.05</v>
      </c>
    </row>
    <row r="75" spans="1:7" x14ac:dyDescent="0.25">
      <c r="A75" s="128" t="s">
        <v>26</v>
      </c>
      <c r="B75" s="186" t="s">
        <v>173</v>
      </c>
      <c r="C75" s="186"/>
      <c r="D75" s="71"/>
      <c r="E75" s="142">
        <f>E71</f>
        <v>227.21</v>
      </c>
    </row>
    <row r="76" spans="1:7" x14ac:dyDescent="0.25">
      <c r="A76" s="194" t="s">
        <v>176</v>
      </c>
      <c r="B76" s="194"/>
      <c r="C76" s="194"/>
      <c r="D76" s="83">
        <f>SUM(D71:D75)</f>
        <v>4.1700000000000001E-2</v>
      </c>
      <c r="E76" s="141">
        <f>SUM(E74+E75)</f>
        <v>441.26</v>
      </c>
    </row>
    <row r="77" spans="1:7" x14ac:dyDescent="0.25">
      <c r="A77" s="189" t="s">
        <v>177</v>
      </c>
      <c r="B77" s="189"/>
      <c r="C77" s="189"/>
      <c r="D77" s="189"/>
      <c r="E77" s="189"/>
    </row>
    <row r="78" spans="1:7" x14ac:dyDescent="0.25">
      <c r="A78" s="126">
        <v>5</v>
      </c>
      <c r="B78" s="196" t="s">
        <v>178</v>
      </c>
      <c r="C78" s="201"/>
      <c r="D78" s="201"/>
      <c r="E78" s="133" t="s">
        <v>8</v>
      </c>
    </row>
    <row r="79" spans="1:7" x14ac:dyDescent="0.25">
      <c r="A79" s="128" t="s">
        <v>0</v>
      </c>
      <c r="B79" s="186" t="s">
        <v>179</v>
      </c>
      <c r="C79" s="186"/>
      <c r="D79" s="186"/>
      <c r="E79" s="142">
        <f>'Material e uniforme'!H14</f>
        <v>90.26</v>
      </c>
    </row>
    <row r="80" spans="1:7" x14ac:dyDescent="0.25">
      <c r="A80" s="128" t="s">
        <v>2</v>
      </c>
      <c r="B80" s="186" t="s">
        <v>180</v>
      </c>
      <c r="C80" s="186"/>
      <c r="D80" s="186"/>
      <c r="E80" s="142">
        <f>'Material e uniforme'!H26</f>
        <v>101.77</v>
      </c>
    </row>
    <row r="81" spans="1:5" x14ac:dyDescent="0.25">
      <c r="A81" s="128" t="s">
        <v>3</v>
      </c>
      <c r="B81" s="186" t="s">
        <v>181</v>
      </c>
      <c r="C81" s="186"/>
      <c r="D81" s="186"/>
      <c r="E81" s="142">
        <f>'Material e uniforme'!H41</f>
        <v>246.63</v>
      </c>
    </row>
    <row r="82" spans="1:5" x14ac:dyDescent="0.25">
      <c r="A82" s="128" t="s">
        <v>5</v>
      </c>
      <c r="B82" s="186" t="s">
        <v>225</v>
      </c>
      <c r="C82" s="186"/>
      <c r="D82" s="186"/>
      <c r="E82" s="142">
        <v>32</v>
      </c>
    </row>
    <row r="83" spans="1:5" x14ac:dyDescent="0.25">
      <c r="A83" s="194" t="s">
        <v>182</v>
      </c>
      <c r="B83" s="194"/>
      <c r="C83" s="194"/>
      <c r="D83" s="83" t="s">
        <v>124</v>
      </c>
      <c r="E83" s="141">
        <f>SUM(E79:E82)</f>
        <v>470.66</v>
      </c>
    </row>
    <row r="84" spans="1:5" x14ac:dyDescent="0.25">
      <c r="A84" s="195" t="s">
        <v>31</v>
      </c>
      <c r="B84" s="195"/>
      <c r="C84" s="195" t="s">
        <v>25</v>
      </c>
      <c r="D84" s="195"/>
      <c r="E84" s="142">
        <f>SUM(E21+E49+E57+E76+E83)</f>
        <v>5954.62</v>
      </c>
    </row>
    <row r="85" spans="1:5" ht="30.75" customHeight="1" x14ac:dyDescent="0.25">
      <c r="A85" s="198" t="s">
        <v>261</v>
      </c>
      <c r="B85" s="198"/>
      <c r="C85" s="198"/>
      <c r="D85" s="147"/>
      <c r="E85" s="141">
        <f>E84</f>
        <v>5954.62</v>
      </c>
    </row>
    <row r="86" spans="1:5" x14ac:dyDescent="0.25">
      <c r="A86" s="189" t="s">
        <v>183</v>
      </c>
      <c r="B86" s="189"/>
      <c r="C86" s="189"/>
      <c r="D86" s="189"/>
      <c r="E86" s="189"/>
    </row>
    <row r="87" spans="1:5" x14ac:dyDescent="0.25">
      <c r="A87" s="126">
        <v>6</v>
      </c>
      <c r="B87" s="196" t="s">
        <v>32</v>
      </c>
      <c r="C87" s="201"/>
      <c r="D87" s="201"/>
      <c r="E87" s="133" t="s">
        <v>8</v>
      </c>
    </row>
    <row r="88" spans="1:5" x14ac:dyDescent="0.25">
      <c r="A88" s="126" t="s">
        <v>0</v>
      </c>
      <c r="B88" s="70" t="s">
        <v>33</v>
      </c>
      <c r="C88" s="202">
        <v>0.06</v>
      </c>
      <c r="D88" s="202"/>
      <c r="E88" s="142">
        <f>+E85*C88</f>
        <v>357.28</v>
      </c>
    </row>
    <row r="89" spans="1:5" x14ac:dyDescent="0.25">
      <c r="A89" s="126" t="s">
        <v>2</v>
      </c>
      <c r="B89" s="70" t="s">
        <v>34</v>
      </c>
      <c r="C89" s="202">
        <v>6.7900000000000002E-2</v>
      </c>
      <c r="D89" s="202"/>
      <c r="E89" s="142">
        <f>C89*(+E85+E88)</f>
        <v>428.58</v>
      </c>
    </row>
    <row r="90" spans="1:5" ht="36" customHeight="1" x14ac:dyDescent="0.25">
      <c r="A90" s="195" t="s">
        <v>3</v>
      </c>
      <c r="B90" s="200" t="s">
        <v>45</v>
      </c>
      <c r="C90" s="200"/>
      <c r="D90" s="84">
        <f>+(100-8.65)/100</f>
        <v>0.91349999999999998</v>
      </c>
      <c r="E90" s="142">
        <f>+E85+E88+E89</f>
        <v>6740.48</v>
      </c>
    </row>
    <row r="91" spans="1:5" x14ac:dyDescent="0.25">
      <c r="A91" s="195"/>
      <c r="B91" s="132" t="s">
        <v>35</v>
      </c>
      <c r="C91" s="73"/>
      <c r="D91" s="73"/>
      <c r="E91" s="148">
        <f>+E90/D90</f>
        <v>7378.74</v>
      </c>
    </row>
    <row r="92" spans="1:5" x14ac:dyDescent="0.25">
      <c r="A92" s="195"/>
      <c r="B92" s="132" t="s">
        <v>36</v>
      </c>
      <c r="C92" s="132"/>
      <c r="D92" s="132"/>
      <c r="E92" s="142"/>
    </row>
    <row r="93" spans="1:5" x14ac:dyDescent="0.25">
      <c r="A93" s="195"/>
      <c r="B93" s="66" t="s">
        <v>226</v>
      </c>
      <c r="C93" s="74"/>
      <c r="D93" s="71">
        <v>6.4999999999999997E-3</v>
      </c>
      <c r="E93" s="142">
        <f>+E91*D93</f>
        <v>47.96</v>
      </c>
    </row>
    <row r="94" spans="1:5" x14ac:dyDescent="0.25">
      <c r="A94" s="195"/>
      <c r="B94" s="66" t="s">
        <v>227</v>
      </c>
      <c r="C94" s="74"/>
      <c r="D94" s="71">
        <v>0.03</v>
      </c>
      <c r="E94" s="142">
        <f>+E91*D94</f>
        <v>221.36</v>
      </c>
    </row>
    <row r="95" spans="1:5" x14ac:dyDescent="0.25">
      <c r="A95" s="195"/>
      <c r="B95" s="149" t="s">
        <v>37</v>
      </c>
      <c r="C95" s="86"/>
      <c r="D95" s="73"/>
      <c r="E95" s="142"/>
    </row>
    <row r="96" spans="1:5" x14ac:dyDescent="0.25">
      <c r="A96" s="195"/>
      <c r="B96" s="149" t="s">
        <v>38</v>
      </c>
      <c r="C96" s="86"/>
      <c r="D96" s="86"/>
      <c r="E96" s="142"/>
    </row>
    <row r="97" spans="1:5" x14ac:dyDescent="0.25">
      <c r="A97" s="195"/>
      <c r="B97" s="66" t="s">
        <v>266</v>
      </c>
      <c r="C97" s="74"/>
      <c r="D97" s="71">
        <v>0.05</v>
      </c>
      <c r="E97" s="142">
        <f>+E91*D97</f>
        <v>368.94</v>
      </c>
    </row>
    <row r="98" spans="1:5" x14ac:dyDescent="0.25">
      <c r="A98" s="126"/>
      <c r="B98" s="73" t="s">
        <v>39</v>
      </c>
      <c r="C98" s="73"/>
      <c r="D98" s="150">
        <f>SUM(D93:D97)</f>
        <v>8.6499999999999994E-2</v>
      </c>
      <c r="E98" s="142">
        <f>SUM(E93:E97)</f>
        <v>638.26</v>
      </c>
    </row>
    <row r="99" spans="1:5" x14ac:dyDescent="0.25">
      <c r="A99" s="194" t="s">
        <v>40</v>
      </c>
      <c r="B99" s="194"/>
      <c r="C99" s="194"/>
      <c r="D99" s="194"/>
      <c r="E99" s="141">
        <f>E88+E89+E98</f>
        <v>1424.12</v>
      </c>
    </row>
    <row r="100" spans="1:5" x14ac:dyDescent="0.25">
      <c r="A100" s="195" t="s">
        <v>41</v>
      </c>
      <c r="B100" s="195"/>
      <c r="C100" s="195"/>
      <c r="D100" s="195"/>
      <c r="E100" s="133" t="s">
        <v>8</v>
      </c>
    </row>
    <row r="101" spans="1:5" x14ac:dyDescent="0.25">
      <c r="A101" s="126" t="s">
        <v>0</v>
      </c>
      <c r="B101" s="196" t="s">
        <v>42</v>
      </c>
      <c r="C101" s="196"/>
      <c r="D101" s="196"/>
      <c r="E101" s="142">
        <f>+E21</f>
        <v>2491.96</v>
      </c>
    </row>
    <row r="102" spans="1:5" x14ac:dyDescent="0.25">
      <c r="A102" s="126" t="s">
        <v>2</v>
      </c>
      <c r="B102" s="196" t="s">
        <v>184</v>
      </c>
      <c r="C102" s="196"/>
      <c r="D102" s="196"/>
      <c r="E102" s="142">
        <f>E49</f>
        <v>2372.5700000000002</v>
      </c>
    </row>
    <row r="103" spans="1:5" x14ac:dyDescent="0.25">
      <c r="A103" s="126" t="s">
        <v>3</v>
      </c>
      <c r="B103" s="196" t="s">
        <v>185</v>
      </c>
      <c r="C103" s="196"/>
      <c r="D103" s="196"/>
      <c r="E103" s="142">
        <f>E57</f>
        <v>178.17</v>
      </c>
    </row>
    <row r="104" spans="1:5" x14ac:dyDescent="0.25">
      <c r="A104" s="126" t="s">
        <v>5</v>
      </c>
      <c r="B104" s="196" t="s">
        <v>186</v>
      </c>
      <c r="C104" s="196"/>
      <c r="D104" s="196"/>
      <c r="E104" s="142">
        <f>E76</f>
        <v>441.26</v>
      </c>
    </row>
    <row r="105" spans="1:5" x14ac:dyDescent="0.25">
      <c r="A105" s="126" t="s">
        <v>17</v>
      </c>
      <c r="B105" s="196" t="s">
        <v>187</v>
      </c>
      <c r="C105" s="196"/>
      <c r="D105" s="196"/>
      <c r="E105" s="142">
        <f>E83</f>
        <v>470.66</v>
      </c>
    </row>
    <row r="106" spans="1:5" ht="15" customHeight="1" x14ac:dyDescent="0.25">
      <c r="A106" s="217" t="s">
        <v>43</v>
      </c>
      <c r="B106" s="218"/>
      <c r="C106" s="218"/>
      <c r="D106" s="219"/>
      <c r="E106" s="142">
        <f>SUM(E101:E105)</f>
        <v>5954.62</v>
      </c>
    </row>
    <row r="107" spans="1:5" x14ac:dyDescent="0.25">
      <c r="A107" s="126" t="s">
        <v>18</v>
      </c>
      <c r="B107" s="196" t="s">
        <v>262</v>
      </c>
      <c r="C107" s="196"/>
      <c r="D107" s="196"/>
      <c r="E107" s="142">
        <f>+E99</f>
        <v>1424.12</v>
      </c>
    </row>
    <row r="108" spans="1:5" x14ac:dyDescent="0.25">
      <c r="A108" s="198" t="s">
        <v>44</v>
      </c>
      <c r="B108" s="198"/>
      <c r="C108" s="198"/>
      <c r="D108" s="198"/>
      <c r="E108" s="141">
        <f>E106+E107</f>
        <v>7378.74</v>
      </c>
    </row>
    <row r="109" spans="1:5" x14ac:dyDescent="0.25">
      <c r="A109" s="199" t="s">
        <v>213</v>
      </c>
      <c r="B109" s="199"/>
      <c r="C109" s="199"/>
      <c r="D109" s="199"/>
      <c r="E109" s="151">
        <f>E108*2</f>
        <v>14757.48</v>
      </c>
    </row>
    <row r="110" spans="1:5" ht="2.25" customHeight="1" x14ac:dyDescent="0.25">
      <c r="A110" s="191" t="s">
        <v>222</v>
      </c>
      <c r="B110" s="192"/>
      <c r="C110" s="192"/>
      <c r="D110" s="192"/>
      <c r="E110" s="193"/>
    </row>
  </sheetData>
  <mergeCells count="101">
    <mergeCell ref="C12:E12"/>
    <mergeCell ref="A1:E1"/>
    <mergeCell ref="A2:E2"/>
    <mergeCell ref="C3:E3"/>
    <mergeCell ref="C4:E4"/>
    <mergeCell ref="C5:E5"/>
    <mergeCell ref="C6:E6"/>
    <mergeCell ref="A7:E7"/>
    <mergeCell ref="A8:E8"/>
    <mergeCell ref="A9:E9"/>
    <mergeCell ref="C10:E10"/>
    <mergeCell ref="B11:D11"/>
    <mergeCell ref="A26:C26"/>
    <mergeCell ref="B13:D13"/>
    <mergeCell ref="A14:E14"/>
    <mergeCell ref="B15:D15"/>
    <mergeCell ref="C16:D16"/>
    <mergeCell ref="B19:D19"/>
    <mergeCell ref="A21:D21"/>
    <mergeCell ref="A22:E22"/>
    <mergeCell ref="B23:D23"/>
    <mergeCell ref="B24:C24"/>
    <mergeCell ref="B25:C25"/>
    <mergeCell ref="B38:D38"/>
    <mergeCell ref="A27:E27"/>
    <mergeCell ref="B28:D28"/>
    <mergeCell ref="B29:C29"/>
    <mergeCell ref="B30:C30"/>
    <mergeCell ref="B31:C31"/>
    <mergeCell ref="B32:C32"/>
    <mergeCell ref="B33:C33"/>
    <mergeCell ref="B34:C34"/>
    <mergeCell ref="B35:C35"/>
    <mergeCell ref="B36:C36"/>
    <mergeCell ref="A37:C37"/>
    <mergeCell ref="A50:E50"/>
    <mergeCell ref="B39:C39"/>
    <mergeCell ref="B40:C40"/>
    <mergeCell ref="B41:C41"/>
    <mergeCell ref="B42:C42"/>
    <mergeCell ref="B43:C43"/>
    <mergeCell ref="A44:D44"/>
    <mergeCell ref="A45:D45"/>
    <mergeCell ref="B46:D46"/>
    <mergeCell ref="B47:D47"/>
    <mergeCell ref="B48:D48"/>
    <mergeCell ref="A49:C49"/>
    <mergeCell ref="B62:C62"/>
    <mergeCell ref="B51:D51"/>
    <mergeCell ref="B52:C52"/>
    <mergeCell ref="B53:C53"/>
    <mergeCell ref="B54:C54"/>
    <mergeCell ref="B55:C55"/>
    <mergeCell ref="B56:C56"/>
    <mergeCell ref="A57:C57"/>
    <mergeCell ref="A58:E58"/>
    <mergeCell ref="B59:D59"/>
    <mergeCell ref="B60:C60"/>
    <mergeCell ref="B61:C61"/>
    <mergeCell ref="B75:C75"/>
    <mergeCell ref="B63:C63"/>
    <mergeCell ref="B64:C64"/>
    <mergeCell ref="B65:C65"/>
    <mergeCell ref="A66:C66"/>
    <mergeCell ref="A67:D67"/>
    <mergeCell ref="B68:D68"/>
    <mergeCell ref="B69:D69"/>
    <mergeCell ref="A71:C71"/>
    <mergeCell ref="A72:D72"/>
    <mergeCell ref="B73:D73"/>
    <mergeCell ref="B74:C74"/>
    <mergeCell ref="B70:C70"/>
    <mergeCell ref="A86:E86"/>
    <mergeCell ref="A76:C76"/>
    <mergeCell ref="A77:E77"/>
    <mergeCell ref="B78:D78"/>
    <mergeCell ref="B79:D79"/>
    <mergeCell ref="B80:D80"/>
    <mergeCell ref="B81:D81"/>
    <mergeCell ref="B82:D82"/>
    <mergeCell ref="A83:C83"/>
    <mergeCell ref="A84:B84"/>
    <mergeCell ref="C84:D84"/>
    <mergeCell ref="A85:C85"/>
    <mergeCell ref="B107:D107"/>
    <mergeCell ref="A108:D108"/>
    <mergeCell ref="A109:D109"/>
    <mergeCell ref="A110:E110"/>
    <mergeCell ref="A106:D106"/>
    <mergeCell ref="B105:D105"/>
    <mergeCell ref="B87:D87"/>
    <mergeCell ref="C88:D88"/>
    <mergeCell ref="C89:D89"/>
    <mergeCell ref="A90:A97"/>
    <mergeCell ref="B90:C90"/>
    <mergeCell ref="A99:D99"/>
    <mergeCell ref="A100:D100"/>
    <mergeCell ref="B101:D101"/>
    <mergeCell ref="B102:D102"/>
    <mergeCell ref="B103:D103"/>
    <mergeCell ref="B104:D104"/>
  </mergeCells>
  <hyperlinks>
    <hyperlink ref="B36" r:id="rId1" display="08 - Sebrae 0,3% ou 0,6% - IN nº 03, MPS/SRP/2005, Anexo II e III ver código da Tabela" xr:uid="{00000000-0004-0000-04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2"/>
  <sheetViews>
    <sheetView topLeftCell="A57"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5" ht="21.75" thickBot="1" x14ac:dyDescent="0.3">
      <c r="A1" s="225" t="s">
        <v>254</v>
      </c>
      <c r="B1" s="226"/>
      <c r="C1" s="226"/>
      <c r="D1" s="226"/>
      <c r="E1" s="227"/>
    </row>
    <row r="2" spans="1:5" x14ac:dyDescent="0.25">
      <c r="A2" s="228" t="s">
        <v>219</v>
      </c>
      <c r="B2" s="229"/>
      <c r="C2" s="229"/>
      <c r="D2" s="229"/>
      <c r="E2" s="230"/>
    </row>
    <row r="3" spans="1:5" ht="25.5" x14ac:dyDescent="0.25">
      <c r="A3" s="50" t="s">
        <v>0</v>
      </c>
      <c r="B3" s="51" t="s">
        <v>1</v>
      </c>
      <c r="C3" s="231" t="s">
        <v>252</v>
      </c>
      <c r="D3" s="232"/>
      <c r="E3" s="233"/>
    </row>
    <row r="4" spans="1:5" x14ac:dyDescent="0.25">
      <c r="A4" s="50" t="s">
        <v>2</v>
      </c>
      <c r="B4" s="51" t="s">
        <v>126</v>
      </c>
      <c r="C4" s="222" t="s">
        <v>188</v>
      </c>
      <c r="D4" s="223"/>
      <c r="E4" s="224"/>
    </row>
    <row r="5" spans="1:5" ht="25.5" x14ac:dyDescent="0.25">
      <c r="A5" s="50" t="s">
        <v>3</v>
      </c>
      <c r="B5" s="51" t="s">
        <v>4</v>
      </c>
      <c r="C5" s="222" t="s">
        <v>220</v>
      </c>
      <c r="D5" s="223"/>
      <c r="E5" s="224"/>
    </row>
    <row r="6" spans="1:5" x14ac:dyDescent="0.25">
      <c r="A6" s="50" t="s">
        <v>5</v>
      </c>
      <c r="B6" s="51" t="s">
        <v>137</v>
      </c>
      <c r="C6" s="222">
        <v>12</v>
      </c>
      <c r="D6" s="223"/>
      <c r="E6" s="224"/>
    </row>
    <row r="7" spans="1:5" x14ac:dyDescent="0.25">
      <c r="A7" s="245" t="s">
        <v>6</v>
      </c>
      <c r="B7" s="246"/>
      <c r="C7" s="246"/>
      <c r="D7" s="246"/>
      <c r="E7" s="247"/>
    </row>
    <row r="8" spans="1:5" x14ac:dyDescent="0.25">
      <c r="A8" s="248" t="s">
        <v>7</v>
      </c>
      <c r="B8" s="249"/>
      <c r="C8" s="249"/>
      <c r="D8" s="249"/>
      <c r="E8" s="250"/>
    </row>
    <row r="9" spans="1:5" x14ac:dyDescent="0.25">
      <c r="A9" s="228" t="s">
        <v>253</v>
      </c>
      <c r="B9" s="251"/>
      <c r="C9" s="251"/>
      <c r="D9" s="251"/>
      <c r="E9" s="252"/>
    </row>
    <row r="10" spans="1:5" ht="25.5" x14ac:dyDescent="0.25">
      <c r="A10" s="50"/>
      <c r="B10" s="53" t="s">
        <v>125</v>
      </c>
      <c r="C10" s="253" t="s">
        <v>188</v>
      </c>
      <c r="D10" s="254"/>
      <c r="E10" s="255"/>
    </row>
    <row r="11" spans="1:5" ht="25.5" x14ac:dyDescent="0.25">
      <c r="A11" s="50">
        <v>2</v>
      </c>
      <c r="B11" s="54" t="s">
        <v>9</v>
      </c>
      <c r="C11" s="55"/>
      <c r="D11" s="56"/>
      <c r="E11" s="57">
        <v>1497.22</v>
      </c>
    </row>
    <row r="12" spans="1:5" ht="25.5" x14ac:dyDescent="0.25">
      <c r="A12" s="50">
        <v>3</v>
      </c>
      <c r="B12" s="53" t="s">
        <v>10</v>
      </c>
      <c r="C12" s="253" t="s">
        <v>247</v>
      </c>
      <c r="D12" s="254"/>
      <c r="E12" s="255"/>
    </row>
    <row r="13" spans="1:5" x14ac:dyDescent="0.25">
      <c r="A13" s="50">
        <v>4</v>
      </c>
      <c r="B13" s="58" t="s">
        <v>11</v>
      </c>
      <c r="C13" s="234">
        <v>44621</v>
      </c>
      <c r="D13" s="235"/>
      <c r="E13" s="236"/>
    </row>
    <row r="14" spans="1:5" x14ac:dyDescent="0.25">
      <c r="A14" s="237" t="s">
        <v>12</v>
      </c>
      <c r="B14" s="238"/>
      <c r="C14" s="238"/>
      <c r="D14" s="239"/>
      <c r="E14" s="59"/>
    </row>
    <row r="15" spans="1:5" x14ac:dyDescent="0.25">
      <c r="A15" s="99">
        <v>1</v>
      </c>
      <c r="B15" s="240" t="s">
        <v>13</v>
      </c>
      <c r="C15" s="241"/>
      <c r="D15" s="242"/>
      <c r="E15" s="60" t="s">
        <v>8</v>
      </c>
    </row>
    <row r="16" spans="1:5" ht="24.75" customHeight="1" x14ac:dyDescent="0.25">
      <c r="A16" s="61" t="s">
        <v>0</v>
      </c>
      <c r="B16" s="259" t="s">
        <v>258</v>
      </c>
      <c r="C16" s="260"/>
      <c r="D16" s="114">
        <v>15.21</v>
      </c>
      <c r="E16" s="63">
        <f>(E11/220)*D16</f>
        <v>103.51</v>
      </c>
    </row>
    <row r="17" spans="1:5" x14ac:dyDescent="0.25">
      <c r="A17" s="61" t="s">
        <v>2</v>
      </c>
      <c r="B17" s="65" t="s">
        <v>16</v>
      </c>
      <c r="C17" s="100">
        <v>0</v>
      </c>
      <c r="D17" s="101"/>
      <c r="E17" s="102">
        <f>D17*C17</f>
        <v>0</v>
      </c>
    </row>
    <row r="18" spans="1:5" x14ac:dyDescent="0.25">
      <c r="A18" s="61" t="s">
        <v>3</v>
      </c>
      <c r="B18" s="289" t="s">
        <v>234</v>
      </c>
      <c r="C18" s="290"/>
      <c r="D18" s="291"/>
      <c r="E18" s="102">
        <f>(E16)/25*5</f>
        <v>20.7</v>
      </c>
    </row>
    <row r="19" spans="1:5" ht="21.75" customHeight="1" x14ac:dyDescent="0.25">
      <c r="A19" s="61" t="s">
        <v>124</v>
      </c>
      <c r="B19" s="256" t="s">
        <v>228</v>
      </c>
      <c r="C19" s="257"/>
      <c r="D19" s="258"/>
      <c r="E19" s="64">
        <f>SUM(E16:E18)</f>
        <v>124.21</v>
      </c>
    </row>
    <row r="20" spans="1:5" ht="25.5" customHeight="1" x14ac:dyDescent="0.25">
      <c r="A20" s="61" t="s">
        <v>5</v>
      </c>
      <c r="B20" s="62" t="s">
        <v>233</v>
      </c>
      <c r="C20" s="243">
        <v>0.3</v>
      </c>
      <c r="D20" s="244"/>
      <c r="E20" s="102">
        <f>E19*C20</f>
        <v>37.26</v>
      </c>
    </row>
    <row r="21" spans="1:5" x14ac:dyDescent="0.25">
      <c r="A21" s="261" t="s">
        <v>20</v>
      </c>
      <c r="B21" s="262"/>
      <c r="C21" s="262"/>
      <c r="D21" s="264"/>
      <c r="E21" s="67">
        <f>SUM(E19:E20)</f>
        <v>161.47</v>
      </c>
    </row>
    <row r="22" spans="1:5" x14ac:dyDescent="0.25">
      <c r="A22" s="237" t="s">
        <v>46</v>
      </c>
      <c r="B22" s="265"/>
      <c r="C22" s="265"/>
      <c r="D22" s="266"/>
      <c r="E22" s="68"/>
    </row>
    <row r="23" spans="1:5" x14ac:dyDescent="0.25">
      <c r="A23" s="99" t="s">
        <v>138</v>
      </c>
      <c r="B23" s="240" t="s">
        <v>139</v>
      </c>
      <c r="C23" s="241"/>
      <c r="D23" s="242"/>
      <c r="E23" s="60" t="s">
        <v>8</v>
      </c>
    </row>
    <row r="24" spans="1:5" x14ac:dyDescent="0.25">
      <c r="A24" s="69" t="s">
        <v>0</v>
      </c>
      <c r="B24" s="70" t="s">
        <v>27</v>
      </c>
      <c r="C24" s="58"/>
      <c r="D24" s="71">
        <f>1/12</f>
        <v>8.3299999999999999E-2</v>
      </c>
      <c r="E24" s="59">
        <f>ROUND(+$E$21*D24,2)</f>
        <v>13.45</v>
      </c>
    </row>
    <row r="25" spans="1:5" x14ac:dyDescent="0.25">
      <c r="A25" s="69" t="s">
        <v>2</v>
      </c>
      <c r="B25" s="70" t="s">
        <v>239</v>
      </c>
      <c r="C25" s="58"/>
      <c r="D25" s="71">
        <v>0.1111</v>
      </c>
      <c r="E25" s="59">
        <f>ROUND(+$E$21*D25,2)</f>
        <v>17.940000000000001</v>
      </c>
    </row>
    <row r="26" spans="1:5" x14ac:dyDescent="0.25">
      <c r="A26" s="261" t="s">
        <v>25</v>
      </c>
      <c r="B26" s="262"/>
      <c r="C26" s="263"/>
      <c r="D26" s="72">
        <f>SUM(D24:D25)</f>
        <v>0.19439999999999999</v>
      </c>
      <c r="E26" s="67">
        <f>SUM(E24:E25)</f>
        <v>31.39</v>
      </c>
    </row>
    <row r="27" spans="1:5" ht="29.25" customHeight="1" x14ac:dyDescent="0.25">
      <c r="A27" s="267" t="s">
        <v>141</v>
      </c>
      <c r="B27" s="268"/>
      <c r="C27" s="268"/>
      <c r="D27" s="268"/>
      <c r="E27" s="269"/>
    </row>
    <row r="28" spans="1:5" x14ac:dyDescent="0.25">
      <c r="A28" s="99" t="s">
        <v>142</v>
      </c>
      <c r="B28" s="240" t="s">
        <v>23</v>
      </c>
      <c r="C28" s="241"/>
      <c r="D28" s="242"/>
      <c r="E28" s="60" t="s">
        <v>8</v>
      </c>
    </row>
    <row r="29" spans="1:5" x14ac:dyDescent="0.25">
      <c r="A29" s="69" t="s">
        <v>0</v>
      </c>
      <c r="B29" s="73" t="s">
        <v>143</v>
      </c>
      <c r="C29" s="58"/>
      <c r="D29" s="71">
        <v>0.2</v>
      </c>
      <c r="E29" s="59">
        <f>(E21+E26)*D29</f>
        <v>38.57</v>
      </c>
    </row>
    <row r="30" spans="1:5" x14ac:dyDescent="0.25">
      <c r="A30" s="69" t="s">
        <v>2</v>
      </c>
      <c r="B30" s="74" t="s">
        <v>144</v>
      </c>
      <c r="C30" s="58"/>
      <c r="D30" s="71">
        <v>1.4999999999999999E-2</v>
      </c>
      <c r="E30" s="59">
        <f>(E21+E26)*D30</f>
        <v>2.89</v>
      </c>
    </row>
    <row r="31" spans="1:5" x14ac:dyDescent="0.25">
      <c r="A31" s="69" t="s">
        <v>3</v>
      </c>
      <c r="B31" s="58" t="s">
        <v>145</v>
      </c>
      <c r="C31" s="58"/>
      <c r="D31" s="71">
        <v>0.01</v>
      </c>
      <c r="E31" s="59">
        <f>(E21+E26)*D31</f>
        <v>1.93</v>
      </c>
    </row>
    <row r="32" spans="1:5" x14ac:dyDescent="0.25">
      <c r="A32" s="69" t="s">
        <v>5</v>
      </c>
      <c r="B32" s="75" t="s">
        <v>146</v>
      </c>
      <c r="C32" s="58"/>
      <c r="D32" s="71">
        <v>2E-3</v>
      </c>
      <c r="E32" s="59">
        <f>(E21+E26)*D32</f>
        <v>0.39</v>
      </c>
    </row>
    <row r="33" spans="1:5" x14ac:dyDescent="0.25">
      <c r="A33" s="69" t="s">
        <v>17</v>
      </c>
      <c r="B33" s="58" t="s">
        <v>147</v>
      </c>
      <c r="C33" s="58"/>
      <c r="D33" s="71">
        <v>2.5000000000000001E-2</v>
      </c>
      <c r="E33" s="59">
        <f>(E21+E26)*D33</f>
        <v>4.82</v>
      </c>
    </row>
    <row r="34" spans="1:5" x14ac:dyDescent="0.25">
      <c r="A34" s="69" t="s">
        <v>18</v>
      </c>
      <c r="B34" s="74" t="s">
        <v>148</v>
      </c>
      <c r="C34" s="58"/>
      <c r="D34" s="71">
        <v>0.08</v>
      </c>
      <c r="E34" s="59">
        <f>(E21+E26)*D34</f>
        <v>15.43</v>
      </c>
    </row>
    <row r="35" spans="1:5" x14ac:dyDescent="0.25">
      <c r="A35" s="69" t="s">
        <v>19</v>
      </c>
      <c r="B35" s="75" t="s">
        <v>149</v>
      </c>
      <c r="C35" s="58"/>
      <c r="D35" s="71">
        <v>0.06</v>
      </c>
      <c r="E35" s="59">
        <f>(E21+E26)*D35</f>
        <v>11.57</v>
      </c>
    </row>
    <row r="36" spans="1:5" x14ac:dyDescent="0.25">
      <c r="A36" s="76" t="s">
        <v>24</v>
      </c>
      <c r="B36" s="77" t="s">
        <v>150</v>
      </c>
      <c r="C36" s="78"/>
      <c r="D36" s="79">
        <v>6.0000000000000001E-3</v>
      </c>
      <c r="E36" s="68">
        <f>(E21+E26)*D36</f>
        <v>1.1599999999999999</v>
      </c>
    </row>
    <row r="37" spans="1:5" x14ac:dyDescent="0.25">
      <c r="A37" s="261" t="s">
        <v>25</v>
      </c>
      <c r="B37" s="262"/>
      <c r="C37" s="263"/>
      <c r="D37" s="72">
        <f>SUM(D29:D36)</f>
        <v>0.39800000000000002</v>
      </c>
      <c r="E37" s="67">
        <f>SUM(E29:E36)</f>
        <v>76.760000000000005</v>
      </c>
    </row>
    <row r="38" spans="1:5" x14ac:dyDescent="0.25">
      <c r="A38" s="99" t="s">
        <v>151</v>
      </c>
      <c r="B38" s="240" t="s">
        <v>152</v>
      </c>
      <c r="C38" s="241"/>
      <c r="D38" s="242"/>
      <c r="E38" s="60" t="s">
        <v>8</v>
      </c>
    </row>
    <row r="39" spans="1:5" x14ac:dyDescent="0.25">
      <c r="A39" s="69" t="s">
        <v>0</v>
      </c>
      <c r="B39" s="85" t="s">
        <v>236</v>
      </c>
      <c r="C39" s="66"/>
      <c r="D39" s="123"/>
      <c r="E39" s="107">
        <f>(30*4.05)-(E16*0.06*50%)</f>
        <v>118.39</v>
      </c>
    </row>
    <row r="40" spans="1:5" x14ac:dyDescent="0.25">
      <c r="A40" s="69" t="s">
        <v>2</v>
      </c>
      <c r="B40" s="183" t="s">
        <v>235</v>
      </c>
      <c r="C40" s="292"/>
      <c r="D40" s="184"/>
      <c r="E40" s="109">
        <f>(3*D16)-(3*D16*1%)</f>
        <v>45.17</v>
      </c>
    </row>
    <row r="41" spans="1:5" x14ac:dyDescent="0.25">
      <c r="A41" s="69" t="s">
        <v>3</v>
      </c>
      <c r="B41" s="183" t="s">
        <v>237</v>
      </c>
      <c r="C41" s="292"/>
      <c r="D41" s="184"/>
      <c r="E41" s="109">
        <f>(((E16*16%)-(E16*1%))/12)</f>
        <v>1.29</v>
      </c>
    </row>
    <row r="42" spans="1:5" x14ac:dyDescent="0.25">
      <c r="A42" s="69" t="s">
        <v>5</v>
      </c>
      <c r="B42" s="66" t="s">
        <v>155</v>
      </c>
      <c r="C42" s="110" t="s">
        <v>223</v>
      </c>
      <c r="D42" s="104">
        <v>12.51</v>
      </c>
      <c r="E42" s="107">
        <f>D42</f>
        <v>12.51</v>
      </c>
    </row>
    <row r="43" spans="1:5" ht="25.5" x14ac:dyDescent="0.25">
      <c r="A43" s="69" t="s">
        <v>17</v>
      </c>
      <c r="B43" s="66" t="s">
        <v>250</v>
      </c>
      <c r="C43" s="110" t="s">
        <v>249</v>
      </c>
      <c r="D43" s="104">
        <v>8.5</v>
      </c>
      <c r="E43" s="107">
        <f t="shared" ref="E43" si="0">D43</f>
        <v>8.5</v>
      </c>
    </row>
    <row r="44" spans="1:5" x14ac:dyDescent="0.25">
      <c r="A44" s="261" t="s">
        <v>21</v>
      </c>
      <c r="B44" s="262"/>
      <c r="C44" s="262"/>
      <c r="D44" s="264"/>
      <c r="E44" s="67">
        <f>SUM(E39:E43)</f>
        <v>185.86</v>
      </c>
    </row>
    <row r="45" spans="1:5" x14ac:dyDescent="0.25">
      <c r="A45" s="237" t="s">
        <v>156</v>
      </c>
      <c r="B45" s="238"/>
      <c r="C45" s="238"/>
      <c r="D45" s="239"/>
      <c r="E45" s="59"/>
    </row>
    <row r="46" spans="1:5" x14ac:dyDescent="0.25">
      <c r="A46" s="99" t="s">
        <v>138</v>
      </c>
      <c r="B46" s="240" t="s">
        <v>157</v>
      </c>
      <c r="C46" s="241"/>
      <c r="D46" s="242"/>
      <c r="E46" s="60">
        <f>E26</f>
        <v>31.39</v>
      </c>
    </row>
    <row r="47" spans="1:5" x14ac:dyDescent="0.25">
      <c r="A47" s="99" t="s">
        <v>142</v>
      </c>
      <c r="B47" s="70" t="s">
        <v>158</v>
      </c>
      <c r="C47" s="58"/>
      <c r="D47" s="80" t="s">
        <v>124</v>
      </c>
      <c r="E47" s="59">
        <f>E37</f>
        <v>76.760000000000005</v>
      </c>
    </row>
    <row r="48" spans="1:5" x14ac:dyDescent="0.25">
      <c r="A48" s="99" t="s">
        <v>151</v>
      </c>
      <c r="B48" s="70" t="s">
        <v>159</v>
      </c>
      <c r="C48" s="58"/>
      <c r="D48" s="80" t="s">
        <v>124</v>
      </c>
      <c r="E48" s="59">
        <f>E44</f>
        <v>185.86</v>
      </c>
    </row>
    <row r="49" spans="1:15" x14ac:dyDescent="0.25">
      <c r="A49" s="261" t="s">
        <v>25</v>
      </c>
      <c r="B49" s="262"/>
      <c r="C49" s="263"/>
      <c r="D49" s="81" t="s">
        <v>124</v>
      </c>
      <c r="E49" s="67">
        <f>SUM(E46:E48)</f>
        <v>294.01</v>
      </c>
    </row>
    <row r="50" spans="1:15" x14ac:dyDescent="0.25">
      <c r="A50" s="237" t="s">
        <v>160</v>
      </c>
      <c r="B50" s="238"/>
      <c r="C50" s="238"/>
      <c r="D50" s="239"/>
      <c r="E50" s="59"/>
    </row>
    <row r="51" spans="1:15" x14ac:dyDescent="0.25">
      <c r="A51" s="99" t="s">
        <v>161</v>
      </c>
      <c r="B51" s="240" t="s">
        <v>28</v>
      </c>
      <c r="C51" s="241"/>
      <c r="D51" s="242"/>
      <c r="E51" s="60" t="s">
        <v>8</v>
      </c>
    </row>
    <row r="52" spans="1:15" x14ac:dyDescent="0.25">
      <c r="A52" s="69" t="s">
        <v>0</v>
      </c>
      <c r="B52" s="70" t="s">
        <v>162</v>
      </c>
      <c r="C52" s="74"/>
      <c r="D52" s="71">
        <v>4.5999999999999999E-3</v>
      </c>
      <c r="E52" s="59">
        <f t="shared" ref="E52:E56" si="1">ROUND(+D52*$E$21,2)</f>
        <v>0.74</v>
      </c>
    </row>
    <row r="53" spans="1:15" ht="25.5" x14ac:dyDescent="0.25">
      <c r="A53" s="69" t="s">
        <v>2</v>
      </c>
      <c r="B53" s="66" t="s">
        <v>163</v>
      </c>
      <c r="C53" s="74"/>
      <c r="D53" s="71">
        <f>D34*D52</f>
        <v>4.0000000000000002E-4</v>
      </c>
      <c r="E53" s="59">
        <f t="shared" si="1"/>
        <v>0.06</v>
      </c>
    </row>
    <row r="54" spans="1:15" x14ac:dyDescent="0.25">
      <c r="A54" s="69" t="s">
        <v>3</v>
      </c>
      <c r="B54" s="82" t="s">
        <v>29</v>
      </c>
      <c r="C54" s="74"/>
      <c r="D54" s="71">
        <v>1.9400000000000001E-2</v>
      </c>
      <c r="E54" s="59">
        <f t="shared" si="1"/>
        <v>3.13</v>
      </c>
    </row>
    <row r="55" spans="1:15" ht="25.5" x14ac:dyDescent="0.25">
      <c r="A55" s="69" t="s">
        <v>5</v>
      </c>
      <c r="B55" s="66" t="s">
        <v>164</v>
      </c>
      <c r="C55" s="74"/>
      <c r="D55" s="71">
        <f>D37*D54</f>
        <v>7.7000000000000002E-3</v>
      </c>
      <c r="E55" s="59">
        <f t="shared" si="1"/>
        <v>1.24</v>
      </c>
    </row>
    <row r="56" spans="1:15" ht="51" x14ac:dyDescent="0.25">
      <c r="A56" s="69" t="s">
        <v>17</v>
      </c>
      <c r="B56" s="66" t="s">
        <v>229</v>
      </c>
      <c r="C56" s="74"/>
      <c r="D56" s="71">
        <f>4%</f>
        <v>0.04</v>
      </c>
      <c r="E56" s="59">
        <f t="shared" si="1"/>
        <v>6.46</v>
      </c>
    </row>
    <row r="57" spans="1:15" x14ac:dyDescent="0.25">
      <c r="A57" s="261" t="s">
        <v>25</v>
      </c>
      <c r="B57" s="262"/>
      <c r="C57" s="262"/>
      <c r="D57" s="83">
        <f>SUM(D52:D56)</f>
        <v>7.2099999999999997E-2</v>
      </c>
      <c r="E57" s="67">
        <f>SUM(E52:E56)</f>
        <v>11.63</v>
      </c>
    </row>
    <row r="58" spans="1:15" x14ac:dyDescent="0.25">
      <c r="A58" s="237" t="s">
        <v>165</v>
      </c>
      <c r="B58" s="238"/>
      <c r="C58" s="238"/>
      <c r="D58" s="239"/>
      <c r="E58" s="59"/>
    </row>
    <row r="59" spans="1:15" x14ac:dyDescent="0.25">
      <c r="A59" s="99" t="s">
        <v>22</v>
      </c>
      <c r="B59" s="293" t="s">
        <v>166</v>
      </c>
      <c r="C59" s="238"/>
      <c r="D59" s="239"/>
      <c r="E59" s="60" t="s">
        <v>8</v>
      </c>
    </row>
    <row r="60" spans="1:15" x14ac:dyDescent="0.25">
      <c r="A60" s="69" t="s">
        <v>0</v>
      </c>
      <c r="B60" s="70" t="s">
        <v>238</v>
      </c>
      <c r="C60" s="58"/>
      <c r="D60" s="71">
        <f>((1+1/3)/12)/12</f>
        <v>9.2999999999999992E-3</v>
      </c>
      <c r="E60" s="59">
        <f>(E21+E49+E57+E78)*D60</f>
        <v>5.18</v>
      </c>
    </row>
    <row r="61" spans="1:15" ht="25.5" x14ac:dyDescent="0.25">
      <c r="A61" s="69" t="s">
        <v>2</v>
      </c>
      <c r="B61" s="70" t="s">
        <v>168</v>
      </c>
      <c r="C61" s="58"/>
      <c r="D61" s="71">
        <v>1.66E-2</v>
      </c>
      <c r="E61" s="59">
        <f>(E21+E49+E57+E78)*D61</f>
        <v>9.25</v>
      </c>
      <c r="F61" s="270" t="s">
        <v>240</v>
      </c>
      <c r="G61" s="271"/>
      <c r="H61" s="271"/>
      <c r="I61" s="271"/>
      <c r="J61" s="271"/>
      <c r="K61" s="271"/>
      <c r="L61" s="271"/>
      <c r="M61" s="271"/>
    </row>
    <row r="62" spans="1:15" ht="25.5" x14ac:dyDescent="0.25">
      <c r="A62" s="69" t="s">
        <v>3</v>
      </c>
      <c r="B62" s="70" t="s">
        <v>169</v>
      </c>
      <c r="C62" s="58"/>
      <c r="D62" s="71">
        <f>(5/30)*(1/12)*6.24%*95.04%</f>
        <v>8.0000000000000004E-4</v>
      </c>
      <c r="E62" s="59">
        <f>(E21+E49+E57+E78)*D62</f>
        <v>0.45</v>
      </c>
      <c r="F62" s="294" t="s">
        <v>241</v>
      </c>
      <c r="G62" s="295"/>
      <c r="H62" s="295"/>
      <c r="I62" s="295"/>
      <c r="J62" s="295"/>
      <c r="K62" s="295"/>
      <c r="L62" s="295"/>
      <c r="M62" s="295"/>
      <c r="N62" s="295"/>
      <c r="O62" s="295"/>
    </row>
    <row r="63" spans="1:15" ht="25.5" x14ac:dyDescent="0.25">
      <c r="A63" s="69" t="s">
        <v>5</v>
      </c>
      <c r="B63" s="70" t="s">
        <v>170</v>
      </c>
      <c r="C63" s="58"/>
      <c r="D63" s="71">
        <f>(1/30)*(1/12)</f>
        <v>2.8E-3</v>
      </c>
      <c r="E63" s="59">
        <f>(E21+E49+E57+E78)*D63</f>
        <v>1.56</v>
      </c>
      <c r="F63" s="296" t="s">
        <v>242</v>
      </c>
      <c r="G63" s="297"/>
      <c r="H63" s="297"/>
      <c r="I63" s="297"/>
      <c r="J63" s="297"/>
      <c r="K63" s="297"/>
      <c r="L63" s="297"/>
      <c r="M63" s="297"/>
      <c r="N63" s="297"/>
      <c r="O63" s="297"/>
    </row>
    <row r="64" spans="1:15" ht="25.5" x14ac:dyDescent="0.25">
      <c r="A64" s="69" t="s">
        <v>17</v>
      </c>
      <c r="B64" s="70" t="s">
        <v>171</v>
      </c>
      <c r="C64" s="58"/>
      <c r="D64" s="71">
        <f>(0.91/30)*(1/12)</f>
        <v>2.5000000000000001E-3</v>
      </c>
      <c r="E64" s="59">
        <f>(E21+E49+E57+E78)*D64</f>
        <v>1.39</v>
      </c>
      <c r="F64" s="296" t="s">
        <v>243</v>
      </c>
      <c r="G64" s="297"/>
      <c r="H64" s="297"/>
      <c r="I64" s="297"/>
      <c r="J64" s="297"/>
      <c r="K64" s="297"/>
      <c r="L64" s="297"/>
      <c r="M64" s="297"/>
      <c r="N64" s="297"/>
      <c r="O64" s="297"/>
    </row>
    <row r="65" spans="1:15" ht="25.5" customHeight="1" x14ac:dyDescent="0.25">
      <c r="A65" s="69" t="s">
        <v>18</v>
      </c>
      <c r="B65" s="298" t="s">
        <v>251</v>
      </c>
      <c r="C65" s="299"/>
      <c r="D65" s="105">
        <f>(7/30)*(1/24)</f>
        <v>9.7000000000000003E-3</v>
      </c>
      <c r="E65" s="59">
        <f>(E21+E49+E57+E78)*D65</f>
        <v>5.41</v>
      </c>
      <c r="F65" s="296" t="s">
        <v>244</v>
      </c>
      <c r="G65" s="297"/>
      <c r="H65" s="297"/>
      <c r="I65" s="297"/>
      <c r="J65" s="297"/>
      <c r="K65" s="297"/>
      <c r="L65" s="297"/>
      <c r="M65" s="297"/>
      <c r="N65" s="297"/>
      <c r="O65" s="297"/>
    </row>
    <row r="66" spans="1:15" x14ac:dyDescent="0.25">
      <c r="A66" s="261" t="s">
        <v>172</v>
      </c>
      <c r="B66" s="262"/>
      <c r="C66" s="264"/>
      <c r="D66" s="83">
        <f>SUM(D60:D65)</f>
        <v>4.1700000000000001E-2</v>
      </c>
      <c r="E66" s="67">
        <f>SUM(E60:E65)</f>
        <v>23.24</v>
      </c>
    </row>
    <row r="67" spans="1:15" x14ac:dyDescent="0.25">
      <c r="A67" s="237"/>
      <c r="B67" s="238"/>
      <c r="C67" s="238"/>
      <c r="D67" s="239"/>
      <c r="E67" s="59"/>
    </row>
    <row r="68" spans="1:15" x14ac:dyDescent="0.25">
      <c r="A68" s="99" t="s">
        <v>124</v>
      </c>
      <c r="B68" s="240" t="s">
        <v>173</v>
      </c>
      <c r="C68" s="241"/>
      <c r="D68" s="242"/>
      <c r="E68" s="60" t="s">
        <v>8</v>
      </c>
    </row>
    <row r="69" spans="1:15" x14ac:dyDescent="0.25">
      <c r="A69" s="69" t="s">
        <v>0</v>
      </c>
      <c r="B69" s="70" t="s">
        <v>174</v>
      </c>
      <c r="C69" s="58"/>
      <c r="D69" s="71"/>
      <c r="E69" s="59">
        <f>0</f>
        <v>0</v>
      </c>
      <c r="G69" s="106"/>
    </row>
    <row r="70" spans="1:15" x14ac:dyDescent="0.25">
      <c r="A70" s="261" t="s">
        <v>25</v>
      </c>
      <c r="B70" s="262"/>
      <c r="C70" s="262"/>
      <c r="D70" s="72"/>
      <c r="E70" s="67">
        <f>E69</f>
        <v>0</v>
      </c>
    </row>
    <row r="71" spans="1:15" x14ac:dyDescent="0.25">
      <c r="A71" s="237" t="s">
        <v>175</v>
      </c>
      <c r="B71" s="238"/>
      <c r="C71" s="238"/>
      <c r="D71" s="239"/>
      <c r="E71" s="59"/>
    </row>
    <row r="72" spans="1:15" x14ac:dyDescent="0.25">
      <c r="A72" s="99">
        <v>4</v>
      </c>
      <c r="B72" s="240" t="s">
        <v>30</v>
      </c>
      <c r="C72" s="241"/>
      <c r="D72" s="242"/>
      <c r="E72" s="60" t="s">
        <v>8</v>
      </c>
    </row>
    <row r="73" spans="1:15" x14ac:dyDescent="0.25">
      <c r="A73" s="69" t="s">
        <v>22</v>
      </c>
      <c r="B73" s="70" t="s">
        <v>166</v>
      </c>
      <c r="C73" s="58"/>
      <c r="D73" s="71">
        <f>D66</f>
        <v>4.1700000000000001E-2</v>
      </c>
      <c r="E73" s="59">
        <f>E66</f>
        <v>23.24</v>
      </c>
    </row>
    <row r="74" spans="1:15" x14ac:dyDescent="0.25">
      <c r="A74" s="69" t="s">
        <v>26</v>
      </c>
      <c r="B74" s="70" t="s">
        <v>173</v>
      </c>
      <c r="C74" s="74"/>
      <c r="D74" s="71"/>
      <c r="E74" s="59">
        <f>E70</f>
        <v>0</v>
      </c>
    </row>
    <row r="75" spans="1:15" x14ac:dyDescent="0.25">
      <c r="A75" s="261" t="s">
        <v>176</v>
      </c>
      <c r="B75" s="262"/>
      <c r="C75" s="264"/>
      <c r="D75" s="83">
        <f>SUM(D70:D74)</f>
        <v>4.1700000000000001E-2</v>
      </c>
      <c r="E75" s="67">
        <f>SUM(E73+E74)</f>
        <v>23.24</v>
      </c>
    </row>
    <row r="76" spans="1:15" x14ac:dyDescent="0.25">
      <c r="A76" s="237" t="s">
        <v>177</v>
      </c>
      <c r="B76" s="238"/>
      <c r="C76" s="238"/>
      <c r="D76" s="239"/>
      <c r="E76" s="59"/>
    </row>
    <row r="77" spans="1:15" x14ac:dyDescent="0.25">
      <c r="A77" s="99">
        <v>5</v>
      </c>
      <c r="B77" s="240" t="s">
        <v>178</v>
      </c>
      <c r="C77" s="241"/>
      <c r="D77" s="242"/>
      <c r="E77" s="60" t="s">
        <v>8</v>
      </c>
    </row>
    <row r="78" spans="1:15" x14ac:dyDescent="0.25">
      <c r="A78" s="69" t="s">
        <v>0</v>
      </c>
      <c r="B78" s="70" t="s">
        <v>179</v>
      </c>
      <c r="C78" s="74" t="s">
        <v>224</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230</v>
      </c>
      <c r="C81" s="74" t="s">
        <v>245</v>
      </c>
      <c r="D81" s="71"/>
      <c r="E81" s="59">
        <v>29.92</v>
      </c>
    </row>
    <row r="82" spans="1:5" x14ac:dyDescent="0.25">
      <c r="A82" s="261" t="s">
        <v>182</v>
      </c>
      <c r="B82" s="262"/>
      <c r="C82" s="264"/>
      <c r="D82" s="83" t="s">
        <v>124</v>
      </c>
      <c r="E82" s="67">
        <f>SUM(E78:E81)</f>
        <v>120.18</v>
      </c>
    </row>
    <row r="83" spans="1:5" ht="18" customHeight="1" x14ac:dyDescent="0.25">
      <c r="A83" s="286" t="s">
        <v>231</v>
      </c>
      <c r="B83" s="287"/>
      <c r="C83" s="287"/>
      <c r="D83" s="287"/>
      <c r="E83" s="288"/>
    </row>
    <row r="84" spans="1:5" x14ac:dyDescent="0.25">
      <c r="A84" s="283" t="s">
        <v>41</v>
      </c>
      <c r="B84" s="218"/>
      <c r="C84" s="218"/>
      <c r="D84" s="219"/>
      <c r="E84" s="52" t="s">
        <v>8</v>
      </c>
    </row>
    <row r="85" spans="1:5" x14ac:dyDescent="0.25">
      <c r="A85" s="99" t="s">
        <v>0</v>
      </c>
      <c r="B85" s="240" t="s">
        <v>42</v>
      </c>
      <c r="C85" s="284"/>
      <c r="D85" s="285"/>
      <c r="E85" s="59">
        <f>+E21</f>
        <v>161.47</v>
      </c>
    </row>
    <row r="86" spans="1:5" x14ac:dyDescent="0.25">
      <c r="A86" s="99" t="s">
        <v>2</v>
      </c>
      <c r="B86" s="240" t="s">
        <v>184</v>
      </c>
      <c r="C86" s="284"/>
      <c r="D86" s="285"/>
      <c r="E86" s="59">
        <f>E49</f>
        <v>294.01</v>
      </c>
    </row>
    <row r="87" spans="1:5" x14ac:dyDescent="0.25">
      <c r="A87" s="99" t="s">
        <v>3</v>
      </c>
      <c r="B87" s="240" t="s">
        <v>185</v>
      </c>
      <c r="C87" s="284"/>
      <c r="D87" s="285"/>
      <c r="E87" s="59">
        <f>E57</f>
        <v>11.63</v>
      </c>
    </row>
    <row r="88" spans="1:5" x14ac:dyDescent="0.25">
      <c r="A88" s="99" t="s">
        <v>5</v>
      </c>
      <c r="B88" s="240" t="s">
        <v>186</v>
      </c>
      <c r="C88" s="284"/>
      <c r="D88" s="285"/>
      <c r="E88" s="59">
        <f>E75</f>
        <v>23.24</v>
      </c>
    </row>
    <row r="89" spans="1:5" ht="15.75" thickBot="1" x14ac:dyDescent="0.3">
      <c r="A89" s="120" t="s">
        <v>17</v>
      </c>
      <c r="B89" s="272" t="s">
        <v>187</v>
      </c>
      <c r="C89" s="273"/>
      <c r="D89" s="274"/>
      <c r="E89" s="87">
        <f>E82</f>
        <v>120.18</v>
      </c>
    </row>
    <row r="90" spans="1:5" ht="15.75" thickBot="1" x14ac:dyDescent="0.3">
      <c r="A90" s="275" t="s">
        <v>44</v>
      </c>
      <c r="B90" s="276"/>
      <c r="C90" s="276"/>
      <c r="D90" s="277"/>
      <c r="E90" s="124">
        <f>SUM(E85:E89)</f>
        <v>610.53</v>
      </c>
    </row>
    <row r="91" spans="1:5" ht="15.75" hidden="1" thickBot="1" x14ac:dyDescent="0.3">
      <c r="A91" s="278" t="s">
        <v>246</v>
      </c>
      <c r="B91" s="279"/>
      <c r="C91" s="279"/>
      <c r="D91" s="279"/>
      <c r="E91" s="122">
        <f>E90*2</f>
        <v>1221.06</v>
      </c>
    </row>
    <row r="92" spans="1:5" ht="13.5" hidden="1" customHeight="1" x14ac:dyDescent="0.25">
      <c r="A92" s="280"/>
      <c r="B92" s="281"/>
      <c r="C92" s="281"/>
      <c r="D92" s="281"/>
      <c r="E92" s="282"/>
    </row>
  </sheetData>
  <mergeCells count="63">
    <mergeCell ref="F62:O62"/>
    <mergeCell ref="F63:O63"/>
    <mergeCell ref="F64:O64"/>
    <mergeCell ref="F65:O65"/>
    <mergeCell ref="B65:C65"/>
    <mergeCell ref="A83:E83"/>
    <mergeCell ref="B18:D18"/>
    <mergeCell ref="B40:D40"/>
    <mergeCell ref="B41:D41"/>
    <mergeCell ref="A71:D71"/>
    <mergeCell ref="B72:D72"/>
    <mergeCell ref="A75:C75"/>
    <mergeCell ref="A50:D50"/>
    <mergeCell ref="B51:D51"/>
    <mergeCell ref="A57:C57"/>
    <mergeCell ref="A58:D58"/>
    <mergeCell ref="B59:D59"/>
    <mergeCell ref="A66:C66"/>
    <mergeCell ref="A37:C37"/>
    <mergeCell ref="B38:D38"/>
    <mergeCell ref="A44:D44"/>
    <mergeCell ref="F61:M61"/>
    <mergeCell ref="B89:D89"/>
    <mergeCell ref="A90:D90"/>
    <mergeCell ref="A91:D91"/>
    <mergeCell ref="A92:E92"/>
    <mergeCell ref="A84:D84"/>
    <mergeCell ref="B85:D85"/>
    <mergeCell ref="B86:D86"/>
    <mergeCell ref="B87:D87"/>
    <mergeCell ref="B88:D88"/>
    <mergeCell ref="A76:D76"/>
    <mergeCell ref="B77:D77"/>
    <mergeCell ref="A82:C82"/>
    <mergeCell ref="A67:D67"/>
    <mergeCell ref="B68:D68"/>
    <mergeCell ref="A70:C70"/>
    <mergeCell ref="A45:D45"/>
    <mergeCell ref="B46:D46"/>
    <mergeCell ref="A49:C49"/>
    <mergeCell ref="A21:D21"/>
    <mergeCell ref="A22:D22"/>
    <mergeCell ref="B23:D23"/>
    <mergeCell ref="A26:C26"/>
    <mergeCell ref="A27:E27"/>
    <mergeCell ref="B28:D28"/>
    <mergeCell ref="C13:E13"/>
    <mergeCell ref="A14:D14"/>
    <mergeCell ref="B15:D15"/>
    <mergeCell ref="C20:D20"/>
    <mergeCell ref="A7:E7"/>
    <mergeCell ref="A8:E8"/>
    <mergeCell ref="A9:E9"/>
    <mergeCell ref="C10:E10"/>
    <mergeCell ref="C12:E12"/>
    <mergeCell ref="B19:D19"/>
    <mergeCell ref="B16:C16"/>
    <mergeCell ref="C6:E6"/>
    <mergeCell ref="A1:E1"/>
    <mergeCell ref="A2:E2"/>
    <mergeCell ref="C3:E3"/>
    <mergeCell ref="C4:E4"/>
    <mergeCell ref="C5:E5"/>
  </mergeCells>
  <hyperlinks>
    <hyperlink ref="B36" r:id="rId1" display="08 - Sebrae 0,3% ou 0,6% - IN nº 03, MPS/SRP/2005, Anexo II e III ver código da Tabela" xr:uid="{00000000-0004-0000-0500-000000000000}"/>
  </hyperlinks>
  <pageMargins left="0.511811024" right="0.511811024" top="0.78740157499999996" bottom="0.78740157499999996" header="0.31496062000000002" footer="0.31496062000000002"/>
  <pageSetup paperSize="9" scale="47"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92"/>
  <sheetViews>
    <sheetView topLeftCell="A49"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7" ht="21.75" thickBot="1" x14ac:dyDescent="0.3">
      <c r="A1" s="225" t="s">
        <v>254</v>
      </c>
      <c r="B1" s="226"/>
      <c r="C1" s="226"/>
      <c r="D1" s="226"/>
      <c r="E1" s="227"/>
    </row>
    <row r="2" spans="1:7" x14ac:dyDescent="0.25">
      <c r="A2" s="228" t="s">
        <v>219</v>
      </c>
      <c r="B2" s="229"/>
      <c r="C2" s="229"/>
      <c r="D2" s="229"/>
      <c r="E2" s="230"/>
    </row>
    <row r="3" spans="1:7" ht="25.5" x14ac:dyDescent="0.25">
      <c r="A3" s="50" t="s">
        <v>0</v>
      </c>
      <c r="B3" s="51" t="s">
        <v>1</v>
      </c>
      <c r="C3" s="231" t="s">
        <v>252</v>
      </c>
      <c r="D3" s="232"/>
      <c r="E3" s="233"/>
    </row>
    <row r="4" spans="1:7" x14ac:dyDescent="0.25">
      <c r="A4" s="50" t="s">
        <v>2</v>
      </c>
      <c r="B4" s="51" t="s">
        <v>126</v>
      </c>
      <c r="C4" s="222" t="s">
        <v>188</v>
      </c>
      <c r="D4" s="223"/>
      <c r="E4" s="224"/>
    </row>
    <row r="5" spans="1:7" ht="25.5" x14ac:dyDescent="0.25">
      <c r="A5" s="50" t="s">
        <v>3</v>
      </c>
      <c r="B5" s="51" t="s">
        <v>4</v>
      </c>
      <c r="C5" s="222" t="s">
        <v>220</v>
      </c>
      <c r="D5" s="223"/>
      <c r="E5" s="224"/>
    </row>
    <row r="6" spans="1:7" x14ac:dyDescent="0.25">
      <c r="A6" s="50" t="s">
        <v>5</v>
      </c>
      <c r="B6" s="51" t="s">
        <v>137</v>
      </c>
      <c r="C6" s="222">
        <v>12</v>
      </c>
      <c r="D6" s="223"/>
      <c r="E6" s="224"/>
    </row>
    <row r="7" spans="1:7" x14ac:dyDescent="0.25">
      <c r="A7" s="245" t="s">
        <v>6</v>
      </c>
      <c r="B7" s="246"/>
      <c r="C7" s="246"/>
      <c r="D7" s="246"/>
      <c r="E7" s="247"/>
      <c r="G7">
        <f>F7*12</f>
        <v>0</v>
      </c>
    </row>
    <row r="8" spans="1:7" x14ac:dyDescent="0.25">
      <c r="A8" s="248" t="s">
        <v>7</v>
      </c>
      <c r="B8" s="249"/>
      <c r="C8" s="249"/>
      <c r="D8" s="249"/>
      <c r="E8" s="250"/>
      <c r="F8">
        <f>E8*D8</f>
        <v>0</v>
      </c>
      <c r="G8">
        <f>F8*12</f>
        <v>0</v>
      </c>
    </row>
    <row r="9" spans="1:7" x14ac:dyDescent="0.25">
      <c r="A9" s="228" t="s">
        <v>253</v>
      </c>
      <c r="B9" s="251"/>
      <c r="C9" s="251"/>
      <c r="D9" s="251"/>
      <c r="E9" s="252"/>
      <c r="G9">
        <f>SUM(G7:G8)</f>
        <v>0</v>
      </c>
    </row>
    <row r="10" spans="1:7" ht="25.5" x14ac:dyDescent="0.25">
      <c r="A10" s="50"/>
      <c r="B10" s="53" t="s">
        <v>125</v>
      </c>
      <c r="C10" s="253" t="s">
        <v>188</v>
      </c>
      <c r="D10" s="254"/>
      <c r="E10" s="255"/>
    </row>
    <row r="11" spans="1:7" ht="25.5" x14ac:dyDescent="0.25">
      <c r="A11" s="50">
        <v>2</v>
      </c>
      <c r="B11" s="54" t="s">
        <v>9</v>
      </c>
      <c r="C11" s="55"/>
      <c r="D11" s="56"/>
      <c r="E11" s="57">
        <v>1497.22</v>
      </c>
      <c r="G11">
        <f xml:space="preserve"> G9</f>
        <v>0</v>
      </c>
    </row>
    <row r="12" spans="1:7" ht="25.5" x14ac:dyDescent="0.25">
      <c r="A12" s="50">
        <v>3</v>
      </c>
      <c r="B12" s="53" t="s">
        <v>10</v>
      </c>
      <c r="C12" s="253" t="s">
        <v>248</v>
      </c>
      <c r="D12" s="254"/>
      <c r="E12" s="255"/>
    </row>
    <row r="13" spans="1:7" x14ac:dyDescent="0.25">
      <c r="A13" s="50">
        <v>4</v>
      </c>
      <c r="B13" s="58" t="s">
        <v>11</v>
      </c>
      <c r="C13" s="234">
        <v>44621</v>
      </c>
      <c r="D13" s="235"/>
      <c r="E13" s="236"/>
    </row>
    <row r="14" spans="1:7" x14ac:dyDescent="0.25">
      <c r="A14" s="237" t="s">
        <v>12</v>
      </c>
      <c r="B14" s="238"/>
      <c r="C14" s="238"/>
      <c r="D14" s="239"/>
      <c r="E14" s="59"/>
    </row>
    <row r="15" spans="1:7" x14ac:dyDescent="0.25">
      <c r="A15" s="99">
        <v>1</v>
      </c>
      <c r="B15" s="240" t="s">
        <v>13</v>
      </c>
      <c r="C15" s="241"/>
      <c r="D15" s="242"/>
      <c r="E15" s="60" t="s">
        <v>8</v>
      </c>
    </row>
    <row r="16" spans="1:7" x14ac:dyDescent="0.25">
      <c r="A16" s="61" t="s">
        <v>0</v>
      </c>
      <c r="B16" s="62" t="s">
        <v>232</v>
      </c>
      <c r="C16" s="112"/>
      <c r="D16" s="114">
        <v>15.21</v>
      </c>
      <c r="E16" s="63">
        <f>(E11/220)*D16</f>
        <v>103.51</v>
      </c>
    </row>
    <row r="17" spans="1:5" x14ac:dyDescent="0.25">
      <c r="A17" s="61" t="s">
        <v>2</v>
      </c>
      <c r="B17" s="65" t="s">
        <v>16</v>
      </c>
      <c r="C17" s="302">
        <v>0.25</v>
      </c>
      <c r="D17" s="303"/>
      <c r="E17" s="102">
        <f>(E11/220)*D16*C17</f>
        <v>25.88</v>
      </c>
    </row>
    <row r="18" spans="1:5" x14ac:dyDescent="0.25">
      <c r="A18" s="61" t="s">
        <v>5</v>
      </c>
      <c r="B18" s="289" t="s">
        <v>234</v>
      </c>
      <c r="C18" s="290"/>
      <c r="D18" s="291"/>
      <c r="E18" s="102">
        <f>(E16+E17)/25*5</f>
        <v>25.88</v>
      </c>
    </row>
    <row r="19" spans="1:5" ht="21.75" customHeight="1" x14ac:dyDescent="0.25">
      <c r="A19" s="61" t="s">
        <v>124</v>
      </c>
      <c r="B19" s="256" t="s">
        <v>228</v>
      </c>
      <c r="C19" s="257"/>
      <c r="D19" s="258"/>
      <c r="E19" s="64">
        <f>SUM(E16:E18)</f>
        <v>155.27000000000001</v>
      </c>
    </row>
    <row r="20" spans="1:5" x14ac:dyDescent="0.25">
      <c r="A20" s="61" t="s">
        <v>3</v>
      </c>
      <c r="B20" s="62" t="s">
        <v>233</v>
      </c>
      <c r="C20" s="243">
        <v>0.3</v>
      </c>
      <c r="D20" s="244"/>
      <c r="E20" s="102">
        <f>E19*C20</f>
        <v>46.58</v>
      </c>
    </row>
    <row r="21" spans="1:5" x14ac:dyDescent="0.25">
      <c r="A21" s="261" t="s">
        <v>20</v>
      </c>
      <c r="B21" s="262"/>
      <c r="C21" s="262"/>
      <c r="D21" s="264"/>
      <c r="E21" s="67">
        <f>SUM(E19:E20)</f>
        <v>201.85</v>
      </c>
    </row>
    <row r="22" spans="1:5" x14ac:dyDescent="0.25">
      <c r="A22" s="237" t="s">
        <v>46</v>
      </c>
      <c r="B22" s="265"/>
      <c r="C22" s="265"/>
      <c r="D22" s="266"/>
      <c r="E22" s="68"/>
    </row>
    <row r="23" spans="1:5" x14ac:dyDescent="0.25">
      <c r="A23" s="99" t="s">
        <v>138</v>
      </c>
      <c r="B23" s="240" t="s">
        <v>139</v>
      </c>
      <c r="C23" s="241"/>
      <c r="D23" s="242"/>
      <c r="E23" s="60" t="s">
        <v>8</v>
      </c>
    </row>
    <row r="24" spans="1:5" x14ac:dyDescent="0.25">
      <c r="A24" s="69" t="s">
        <v>0</v>
      </c>
      <c r="B24" s="70" t="s">
        <v>27</v>
      </c>
      <c r="C24" s="58"/>
      <c r="D24" s="71">
        <f>1/12</f>
        <v>8.3299999999999999E-2</v>
      </c>
      <c r="E24" s="59">
        <f>ROUND(+$E$21*D24,2)</f>
        <v>16.809999999999999</v>
      </c>
    </row>
    <row r="25" spans="1:5" x14ac:dyDescent="0.25">
      <c r="A25" s="69" t="s">
        <v>2</v>
      </c>
      <c r="B25" s="70" t="s">
        <v>239</v>
      </c>
      <c r="C25" s="58"/>
      <c r="D25" s="71">
        <v>0.1111</v>
      </c>
      <c r="E25" s="59">
        <f>ROUND(+$E$21*D25,2)</f>
        <v>22.43</v>
      </c>
    </row>
    <row r="26" spans="1:5" x14ac:dyDescent="0.25">
      <c r="A26" s="261" t="s">
        <v>25</v>
      </c>
      <c r="B26" s="262"/>
      <c r="C26" s="263"/>
      <c r="D26" s="72">
        <f>SUM(D24:D25)</f>
        <v>0.19439999999999999</v>
      </c>
      <c r="E26" s="67">
        <f>SUM(E24:E25)</f>
        <v>39.24</v>
      </c>
    </row>
    <row r="27" spans="1:5" ht="29.25" customHeight="1" x14ac:dyDescent="0.25">
      <c r="A27" s="267" t="s">
        <v>141</v>
      </c>
      <c r="B27" s="268"/>
      <c r="C27" s="268"/>
      <c r="D27" s="268"/>
      <c r="E27" s="269"/>
    </row>
    <row r="28" spans="1:5" x14ac:dyDescent="0.25">
      <c r="A28" s="99" t="s">
        <v>142</v>
      </c>
      <c r="B28" s="240" t="s">
        <v>23</v>
      </c>
      <c r="C28" s="241"/>
      <c r="D28" s="242"/>
      <c r="E28" s="60" t="s">
        <v>8</v>
      </c>
    </row>
    <row r="29" spans="1:5" x14ac:dyDescent="0.25">
      <c r="A29" s="69" t="s">
        <v>0</v>
      </c>
      <c r="B29" s="73" t="s">
        <v>143</v>
      </c>
      <c r="C29" s="58"/>
      <c r="D29" s="71">
        <v>0.2</v>
      </c>
      <c r="E29" s="59">
        <f>(E21+E26)*D29</f>
        <v>48.22</v>
      </c>
    </row>
    <row r="30" spans="1:5" x14ac:dyDescent="0.25">
      <c r="A30" s="69" t="s">
        <v>2</v>
      </c>
      <c r="B30" s="74" t="s">
        <v>144</v>
      </c>
      <c r="C30" s="58"/>
      <c r="D30" s="71">
        <v>1.4999999999999999E-2</v>
      </c>
      <c r="E30" s="59">
        <f>(E21+E26)*D30</f>
        <v>3.62</v>
      </c>
    </row>
    <row r="31" spans="1:5" x14ac:dyDescent="0.25">
      <c r="A31" s="69" t="s">
        <v>3</v>
      </c>
      <c r="B31" s="58" t="s">
        <v>145</v>
      </c>
      <c r="C31" s="58"/>
      <c r="D31" s="71">
        <v>0.01</v>
      </c>
      <c r="E31" s="59">
        <f>(E21+E26)*D31</f>
        <v>2.41</v>
      </c>
    </row>
    <row r="32" spans="1:5" x14ac:dyDescent="0.25">
      <c r="A32" s="69" t="s">
        <v>5</v>
      </c>
      <c r="B32" s="75" t="s">
        <v>146</v>
      </c>
      <c r="C32" s="58"/>
      <c r="D32" s="71">
        <v>2E-3</v>
      </c>
      <c r="E32" s="59">
        <f>(E21+E26)*D32</f>
        <v>0.48</v>
      </c>
    </row>
    <row r="33" spans="1:5" x14ac:dyDescent="0.25">
      <c r="A33" s="69" t="s">
        <v>17</v>
      </c>
      <c r="B33" s="58" t="s">
        <v>147</v>
      </c>
      <c r="C33" s="58"/>
      <c r="D33" s="71">
        <v>2.5000000000000001E-2</v>
      </c>
      <c r="E33" s="59">
        <f>(E21+E26)*D33</f>
        <v>6.03</v>
      </c>
    </row>
    <row r="34" spans="1:5" x14ac:dyDescent="0.25">
      <c r="A34" s="69" t="s">
        <v>18</v>
      </c>
      <c r="B34" s="74" t="s">
        <v>148</v>
      </c>
      <c r="C34" s="58"/>
      <c r="D34" s="71">
        <v>0.08</v>
      </c>
      <c r="E34" s="59">
        <f>(E21+E26)*D34</f>
        <v>19.29</v>
      </c>
    </row>
    <row r="35" spans="1:5" x14ac:dyDescent="0.25">
      <c r="A35" s="69" t="s">
        <v>19</v>
      </c>
      <c r="B35" s="75" t="s">
        <v>149</v>
      </c>
      <c r="C35" s="58"/>
      <c r="D35" s="71">
        <v>0.03</v>
      </c>
      <c r="E35" s="59">
        <f>(E21+E26)*D35</f>
        <v>7.23</v>
      </c>
    </row>
    <row r="36" spans="1:5" x14ac:dyDescent="0.25">
      <c r="A36" s="76" t="s">
        <v>24</v>
      </c>
      <c r="B36" s="77" t="s">
        <v>150</v>
      </c>
      <c r="C36" s="78"/>
      <c r="D36" s="79">
        <v>6.0000000000000001E-3</v>
      </c>
      <c r="E36" s="68">
        <f>(E21+E26)*D36</f>
        <v>1.45</v>
      </c>
    </row>
    <row r="37" spans="1:5" x14ac:dyDescent="0.25">
      <c r="A37" s="261" t="s">
        <v>25</v>
      </c>
      <c r="B37" s="262"/>
      <c r="C37" s="263"/>
      <c r="D37" s="72">
        <f>SUM(D29:D36)</f>
        <v>0.36799999999999999</v>
      </c>
      <c r="E37" s="67">
        <f>SUM(E29:E36)</f>
        <v>88.73</v>
      </c>
    </row>
    <row r="38" spans="1:5" x14ac:dyDescent="0.25">
      <c r="A38" s="99" t="s">
        <v>151</v>
      </c>
      <c r="B38" s="240" t="s">
        <v>152</v>
      </c>
      <c r="C38" s="241"/>
      <c r="D38" s="242"/>
      <c r="E38" s="60" t="s">
        <v>8</v>
      </c>
    </row>
    <row r="39" spans="1:5" x14ac:dyDescent="0.25">
      <c r="A39" s="69" t="s">
        <v>0</v>
      </c>
      <c r="B39" s="183" t="s">
        <v>236</v>
      </c>
      <c r="C39" s="292"/>
      <c r="D39" s="184"/>
      <c r="E39" s="107">
        <f>(30*4.05)-(E16*0.06*50%)</f>
        <v>118.39</v>
      </c>
    </row>
    <row r="40" spans="1:5" x14ac:dyDescent="0.25">
      <c r="A40" s="69" t="s">
        <v>2</v>
      </c>
      <c r="B40" s="183" t="s">
        <v>235</v>
      </c>
      <c r="C40" s="292"/>
      <c r="D40" s="184"/>
      <c r="E40" s="109">
        <f>(3*D16)-(3*D16*1%)</f>
        <v>45.17</v>
      </c>
    </row>
    <row r="41" spans="1:5" x14ac:dyDescent="0.25">
      <c r="A41" s="69" t="s">
        <v>3</v>
      </c>
      <c r="B41" s="183" t="s">
        <v>237</v>
      </c>
      <c r="C41" s="292"/>
      <c r="D41" s="184"/>
      <c r="E41" s="109">
        <f>(((E16*16%)-(E16*1%))/12)</f>
        <v>1.29</v>
      </c>
    </row>
    <row r="42" spans="1:5" x14ac:dyDescent="0.25">
      <c r="A42" s="69" t="s">
        <v>5</v>
      </c>
      <c r="B42" s="66" t="s">
        <v>155</v>
      </c>
      <c r="C42" s="110" t="s">
        <v>223</v>
      </c>
      <c r="D42" s="104">
        <v>12.51</v>
      </c>
      <c r="E42" s="107">
        <f>D42</f>
        <v>12.51</v>
      </c>
    </row>
    <row r="43" spans="1:5" ht="25.5" x14ac:dyDescent="0.25">
      <c r="A43" s="69" t="s">
        <v>17</v>
      </c>
      <c r="B43" s="66" t="s">
        <v>250</v>
      </c>
      <c r="C43" s="110" t="s">
        <v>249</v>
      </c>
      <c r="D43" s="104">
        <v>8.5</v>
      </c>
      <c r="E43" s="107">
        <f t="shared" ref="E43" si="0">D43</f>
        <v>8.5</v>
      </c>
    </row>
    <row r="44" spans="1:5" x14ac:dyDescent="0.25">
      <c r="A44" s="261" t="s">
        <v>21</v>
      </c>
      <c r="B44" s="262"/>
      <c r="C44" s="262"/>
      <c r="D44" s="264"/>
      <c r="E44" s="67">
        <f>SUM(E39:E43)</f>
        <v>185.86</v>
      </c>
    </row>
    <row r="45" spans="1:5" x14ac:dyDescent="0.25">
      <c r="A45" s="237" t="s">
        <v>156</v>
      </c>
      <c r="B45" s="238"/>
      <c r="C45" s="238"/>
      <c r="D45" s="239"/>
      <c r="E45" s="59"/>
    </row>
    <row r="46" spans="1:5" x14ac:dyDescent="0.25">
      <c r="A46" s="99" t="s">
        <v>138</v>
      </c>
      <c r="B46" s="240" t="s">
        <v>157</v>
      </c>
      <c r="C46" s="241"/>
      <c r="D46" s="242"/>
      <c r="E46" s="60">
        <f>E26</f>
        <v>39.24</v>
      </c>
    </row>
    <row r="47" spans="1:5" x14ac:dyDescent="0.25">
      <c r="A47" s="99" t="s">
        <v>142</v>
      </c>
      <c r="B47" s="70" t="s">
        <v>158</v>
      </c>
      <c r="C47" s="58"/>
      <c r="D47" s="80" t="s">
        <v>124</v>
      </c>
      <c r="E47" s="59">
        <f>E37</f>
        <v>88.73</v>
      </c>
    </row>
    <row r="48" spans="1:5" x14ac:dyDescent="0.25">
      <c r="A48" s="99" t="s">
        <v>151</v>
      </c>
      <c r="B48" s="70" t="s">
        <v>159</v>
      </c>
      <c r="C48" s="58"/>
      <c r="D48" s="80" t="s">
        <v>124</v>
      </c>
      <c r="E48" s="59">
        <f>E44</f>
        <v>185.86</v>
      </c>
    </row>
    <row r="49" spans="1:15" x14ac:dyDescent="0.25">
      <c r="A49" s="261" t="s">
        <v>25</v>
      </c>
      <c r="B49" s="262"/>
      <c r="C49" s="263"/>
      <c r="D49" s="81" t="s">
        <v>124</v>
      </c>
      <c r="E49" s="67">
        <f>SUM(E46:E48)</f>
        <v>313.83</v>
      </c>
    </row>
    <row r="50" spans="1:15" x14ac:dyDescent="0.25">
      <c r="A50" s="237" t="s">
        <v>160</v>
      </c>
      <c r="B50" s="238"/>
      <c r="C50" s="238"/>
      <c r="D50" s="239"/>
      <c r="E50" s="59"/>
    </row>
    <row r="51" spans="1:15" x14ac:dyDescent="0.25">
      <c r="A51" s="99" t="s">
        <v>161</v>
      </c>
      <c r="B51" s="240" t="s">
        <v>28</v>
      </c>
      <c r="C51" s="241"/>
      <c r="D51" s="242"/>
      <c r="E51" s="60" t="s">
        <v>8</v>
      </c>
    </row>
    <row r="52" spans="1:15" x14ac:dyDescent="0.25">
      <c r="A52" s="69" t="s">
        <v>0</v>
      </c>
      <c r="B52" s="70" t="s">
        <v>162</v>
      </c>
      <c r="C52" s="74"/>
      <c r="D52" s="71">
        <v>4.5999999999999999E-3</v>
      </c>
      <c r="E52" s="59">
        <f t="shared" ref="E52:E56" si="1">ROUND(+D52*$E$21,2)</f>
        <v>0.93</v>
      </c>
    </row>
    <row r="53" spans="1:15" ht="25.5" x14ac:dyDescent="0.25">
      <c r="A53" s="69" t="s">
        <v>2</v>
      </c>
      <c r="B53" s="66" t="s">
        <v>163</v>
      </c>
      <c r="C53" s="74"/>
      <c r="D53" s="71">
        <f>D34*D52</f>
        <v>4.0000000000000002E-4</v>
      </c>
      <c r="E53" s="59">
        <f t="shared" si="1"/>
        <v>0.08</v>
      </c>
    </row>
    <row r="54" spans="1:15" x14ac:dyDescent="0.25">
      <c r="A54" s="69" t="s">
        <v>3</v>
      </c>
      <c r="B54" s="82" t="s">
        <v>29</v>
      </c>
      <c r="C54" s="74"/>
      <c r="D54" s="71">
        <v>1.9400000000000001E-2</v>
      </c>
      <c r="E54" s="59">
        <f t="shared" si="1"/>
        <v>3.92</v>
      </c>
    </row>
    <row r="55" spans="1:15" ht="25.5" x14ac:dyDescent="0.25">
      <c r="A55" s="69" t="s">
        <v>5</v>
      </c>
      <c r="B55" s="66" t="s">
        <v>164</v>
      </c>
      <c r="C55" s="74"/>
      <c r="D55" s="71">
        <f>D37*D54</f>
        <v>7.1000000000000004E-3</v>
      </c>
      <c r="E55" s="59">
        <f t="shared" si="1"/>
        <v>1.43</v>
      </c>
    </row>
    <row r="56" spans="1:15" ht="51" x14ac:dyDescent="0.25">
      <c r="A56" s="69" t="s">
        <v>17</v>
      </c>
      <c r="B56" s="66" t="s">
        <v>229</v>
      </c>
      <c r="C56" s="74"/>
      <c r="D56" s="71">
        <f>4%</f>
        <v>0.04</v>
      </c>
      <c r="E56" s="59">
        <f t="shared" si="1"/>
        <v>8.07</v>
      </c>
    </row>
    <row r="57" spans="1:15" x14ac:dyDescent="0.25">
      <c r="A57" s="261" t="s">
        <v>25</v>
      </c>
      <c r="B57" s="262"/>
      <c r="C57" s="262"/>
      <c r="D57" s="83">
        <f>SUM(D52:D56)</f>
        <v>7.1499999999999994E-2</v>
      </c>
      <c r="E57" s="67">
        <f>SUM(E52:E56)</f>
        <v>14.43</v>
      </c>
    </row>
    <row r="58" spans="1:15" x14ac:dyDescent="0.25">
      <c r="A58" s="237" t="s">
        <v>165</v>
      </c>
      <c r="B58" s="238"/>
      <c r="C58" s="238"/>
      <c r="D58" s="239"/>
      <c r="E58" s="59"/>
    </row>
    <row r="59" spans="1:15" x14ac:dyDescent="0.25">
      <c r="A59" s="99" t="s">
        <v>22</v>
      </c>
      <c r="B59" s="293" t="s">
        <v>166</v>
      </c>
      <c r="C59" s="238"/>
      <c r="D59" s="239"/>
      <c r="E59" s="60" t="s">
        <v>8</v>
      </c>
    </row>
    <row r="60" spans="1:15" x14ac:dyDescent="0.25">
      <c r="A60" s="69" t="s">
        <v>0</v>
      </c>
      <c r="B60" s="70" t="s">
        <v>238</v>
      </c>
      <c r="C60" s="58"/>
      <c r="D60" s="71">
        <f>((1+1/3)/12)/12</f>
        <v>9.2999999999999992E-3</v>
      </c>
      <c r="E60" s="59">
        <f>(E21+E49+E57+E78)*D60</f>
        <v>5.77</v>
      </c>
    </row>
    <row r="61" spans="1:15" ht="25.5" x14ac:dyDescent="0.25">
      <c r="A61" s="69" t="s">
        <v>2</v>
      </c>
      <c r="B61" s="70" t="s">
        <v>168</v>
      </c>
      <c r="C61" s="58"/>
      <c r="D61" s="71">
        <v>1.66E-2</v>
      </c>
      <c r="E61" s="59">
        <f>(E21+E49+E57+E78)*D61</f>
        <v>10.3</v>
      </c>
      <c r="F61" s="270" t="s">
        <v>240</v>
      </c>
      <c r="G61" s="271"/>
      <c r="H61" s="271"/>
      <c r="I61" s="271"/>
      <c r="J61" s="271"/>
      <c r="K61" s="271"/>
      <c r="L61" s="271"/>
      <c r="M61" s="271"/>
    </row>
    <row r="62" spans="1:15" ht="25.5" x14ac:dyDescent="0.25">
      <c r="A62" s="69" t="s">
        <v>3</v>
      </c>
      <c r="B62" s="70" t="s">
        <v>169</v>
      </c>
      <c r="C62" s="58"/>
      <c r="D62" s="71">
        <f>(5/30)*(1/12)*6.24%*95.04%</f>
        <v>8.0000000000000004E-4</v>
      </c>
      <c r="E62" s="59">
        <f>(E21+E49+E57+E78)*D62</f>
        <v>0.5</v>
      </c>
      <c r="F62" s="294" t="s">
        <v>241</v>
      </c>
      <c r="G62" s="295"/>
      <c r="H62" s="295"/>
      <c r="I62" s="295"/>
      <c r="J62" s="295"/>
      <c r="K62" s="295"/>
      <c r="L62" s="295"/>
      <c r="M62" s="295"/>
      <c r="N62" s="295"/>
      <c r="O62" s="295"/>
    </row>
    <row r="63" spans="1:15" ht="25.5" x14ac:dyDescent="0.25">
      <c r="A63" s="69" t="s">
        <v>5</v>
      </c>
      <c r="B63" s="70" t="s">
        <v>170</v>
      </c>
      <c r="C63" s="58"/>
      <c r="D63" s="71">
        <f>(1/30)*(1/12)</f>
        <v>2.8E-3</v>
      </c>
      <c r="E63" s="59">
        <f>(E21+E49+E57+E78)*D63</f>
        <v>1.74</v>
      </c>
      <c r="F63" s="296" t="s">
        <v>242</v>
      </c>
      <c r="G63" s="297"/>
      <c r="H63" s="297"/>
      <c r="I63" s="297"/>
      <c r="J63" s="297"/>
      <c r="K63" s="297"/>
      <c r="L63" s="297"/>
      <c r="M63" s="297"/>
      <c r="N63" s="297"/>
      <c r="O63" s="297"/>
    </row>
    <row r="64" spans="1:15" ht="25.5" x14ac:dyDescent="0.25">
      <c r="A64" s="69" t="s">
        <v>17</v>
      </c>
      <c r="B64" s="70" t="s">
        <v>171</v>
      </c>
      <c r="C64" s="58"/>
      <c r="D64" s="71">
        <f>(0.91/30)*(1/12)</f>
        <v>2.5000000000000001E-3</v>
      </c>
      <c r="E64" s="59">
        <f>(E21+E49+E57+E78)*D64</f>
        <v>1.55</v>
      </c>
      <c r="F64" s="296" t="s">
        <v>243</v>
      </c>
      <c r="G64" s="297"/>
      <c r="H64" s="297"/>
      <c r="I64" s="297"/>
      <c r="J64" s="297"/>
      <c r="K64" s="297"/>
      <c r="L64" s="297"/>
      <c r="M64" s="297"/>
      <c r="N64" s="297"/>
      <c r="O64" s="297"/>
    </row>
    <row r="65" spans="1:15" ht="25.5" customHeight="1" x14ac:dyDescent="0.25">
      <c r="A65" s="69" t="s">
        <v>18</v>
      </c>
      <c r="B65" s="298" t="s">
        <v>251</v>
      </c>
      <c r="C65" s="299"/>
      <c r="D65" s="105">
        <f>(7/30)*(1/24)</f>
        <v>9.7000000000000003E-3</v>
      </c>
      <c r="E65" s="59">
        <f>(E21+E49+E57+E78)*D65</f>
        <v>6.02</v>
      </c>
      <c r="F65" s="296" t="s">
        <v>244</v>
      </c>
      <c r="G65" s="297"/>
      <c r="H65" s="297"/>
      <c r="I65" s="297"/>
      <c r="J65" s="297"/>
      <c r="K65" s="297"/>
      <c r="L65" s="297"/>
      <c r="M65" s="297"/>
      <c r="N65" s="297"/>
      <c r="O65" s="297"/>
    </row>
    <row r="66" spans="1:15" x14ac:dyDescent="0.25">
      <c r="A66" s="261" t="s">
        <v>172</v>
      </c>
      <c r="B66" s="262"/>
      <c r="C66" s="264"/>
      <c r="D66" s="83">
        <f>SUM(D60:D65)</f>
        <v>4.1700000000000001E-2</v>
      </c>
      <c r="E66" s="67">
        <f>SUM(E60:E65)</f>
        <v>25.88</v>
      </c>
    </row>
    <row r="67" spans="1:15" x14ac:dyDescent="0.25">
      <c r="A67" s="237"/>
      <c r="B67" s="238"/>
      <c r="C67" s="238"/>
      <c r="D67" s="239"/>
      <c r="E67" s="59"/>
    </row>
    <row r="68" spans="1:15" x14ac:dyDescent="0.25">
      <c r="A68" s="99" t="s">
        <v>124</v>
      </c>
      <c r="B68" s="240" t="s">
        <v>173</v>
      </c>
      <c r="C68" s="241"/>
      <c r="D68" s="242"/>
      <c r="E68" s="60" t="s">
        <v>8</v>
      </c>
    </row>
    <row r="69" spans="1:15" x14ac:dyDescent="0.25">
      <c r="A69" s="69" t="s">
        <v>0</v>
      </c>
      <c r="B69" s="70" t="s">
        <v>174</v>
      </c>
      <c r="C69" s="58"/>
      <c r="D69" s="71"/>
      <c r="E69" s="59">
        <f>0</f>
        <v>0</v>
      </c>
      <c r="G69" s="106"/>
    </row>
    <row r="70" spans="1:15" x14ac:dyDescent="0.25">
      <c r="A70" s="261" t="s">
        <v>25</v>
      </c>
      <c r="B70" s="262"/>
      <c r="C70" s="262"/>
      <c r="D70" s="72"/>
      <c r="E70" s="67">
        <f>E69</f>
        <v>0</v>
      </c>
    </row>
    <row r="71" spans="1:15" x14ac:dyDescent="0.25">
      <c r="A71" s="237" t="s">
        <v>175</v>
      </c>
      <c r="B71" s="238"/>
      <c r="C71" s="238"/>
      <c r="D71" s="239"/>
      <c r="E71" s="59"/>
    </row>
    <row r="72" spans="1:15" x14ac:dyDescent="0.25">
      <c r="A72" s="99">
        <v>4</v>
      </c>
      <c r="B72" s="240" t="s">
        <v>30</v>
      </c>
      <c r="C72" s="241"/>
      <c r="D72" s="242"/>
      <c r="E72" s="60" t="s">
        <v>8</v>
      </c>
    </row>
    <row r="73" spans="1:15" x14ac:dyDescent="0.25">
      <c r="A73" s="69" t="s">
        <v>22</v>
      </c>
      <c r="B73" s="70" t="s">
        <v>166</v>
      </c>
      <c r="C73" s="58"/>
      <c r="D73" s="71">
        <f>D66</f>
        <v>4.1700000000000001E-2</v>
      </c>
      <c r="E73" s="59">
        <f>E66</f>
        <v>25.88</v>
      </c>
    </row>
    <row r="74" spans="1:15" x14ac:dyDescent="0.25">
      <c r="A74" s="69" t="s">
        <v>26</v>
      </c>
      <c r="B74" s="70" t="s">
        <v>173</v>
      </c>
      <c r="C74" s="74"/>
      <c r="D74" s="71"/>
      <c r="E74" s="59">
        <f>E70</f>
        <v>0</v>
      </c>
    </row>
    <row r="75" spans="1:15" x14ac:dyDescent="0.25">
      <c r="A75" s="261" t="s">
        <v>176</v>
      </c>
      <c r="B75" s="262"/>
      <c r="C75" s="264"/>
      <c r="D75" s="83">
        <f>SUM(D70:D74)</f>
        <v>4.1700000000000001E-2</v>
      </c>
      <c r="E75" s="67">
        <f>SUM(E73+E74)</f>
        <v>25.88</v>
      </c>
    </row>
    <row r="76" spans="1:15" x14ac:dyDescent="0.25">
      <c r="A76" s="237" t="s">
        <v>177</v>
      </c>
      <c r="B76" s="238"/>
      <c r="C76" s="238"/>
      <c r="D76" s="239"/>
      <c r="E76" s="59"/>
    </row>
    <row r="77" spans="1:15" x14ac:dyDescent="0.25">
      <c r="A77" s="99">
        <v>5</v>
      </c>
      <c r="B77" s="240" t="s">
        <v>178</v>
      </c>
      <c r="C77" s="241"/>
      <c r="D77" s="242"/>
      <c r="E77" s="60" t="s">
        <v>8</v>
      </c>
    </row>
    <row r="78" spans="1:15" x14ac:dyDescent="0.25">
      <c r="A78" s="69" t="s">
        <v>0</v>
      </c>
      <c r="B78" s="70" t="s">
        <v>179</v>
      </c>
      <c r="C78" s="74" t="s">
        <v>224</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230</v>
      </c>
      <c r="C81" s="74" t="s">
        <v>245</v>
      </c>
      <c r="D81" s="71"/>
      <c r="E81" s="59">
        <v>29.92</v>
      </c>
    </row>
    <row r="82" spans="1:5" x14ac:dyDescent="0.25">
      <c r="A82" s="261" t="s">
        <v>182</v>
      </c>
      <c r="B82" s="262"/>
      <c r="C82" s="264"/>
      <c r="D82" s="83" t="s">
        <v>124</v>
      </c>
      <c r="E82" s="67">
        <f>SUM(E78:E81)</f>
        <v>120.18</v>
      </c>
    </row>
    <row r="83" spans="1:5" ht="18" customHeight="1" x14ac:dyDescent="0.25">
      <c r="A83" s="286" t="s">
        <v>231</v>
      </c>
      <c r="B83" s="287"/>
      <c r="C83" s="287"/>
      <c r="D83" s="287"/>
      <c r="E83" s="288"/>
    </row>
    <row r="84" spans="1:5" x14ac:dyDescent="0.25">
      <c r="A84" s="283" t="s">
        <v>41</v>
      </c>
      <c r="B84" s="218"/>
      <c r="C84" s="218"/>
      <c r="D84" s="219"/>
      <c r="E84" s="52" t="s">
        <v>8</v>
      </c>
    </row>
    <row r="85" spans="1:5" x14ac:dyDescent="0.25">
      <c r="A85" s="99" t="s">
        <v>0</v>
      </c>
      <c r="B85" s="240" t="s">
        <v>42</v>
      </c>
      <c r="C85" s="284"/>
      <c r="D85" s="285"/>
      <c r="E85" s="59">
        <f>+E21</f>
        <v>201.85</v>
      </c>
    </row>
    <row r="86" spans="1:5" x14ac:dyDescent="0.25">
      <c r="A86" s="99" t="s">
        <v>2</v>
      </c>
      <c r="B86" s="240" t="s">
        <v>184</v>
      </c>
      <c r="C86" s="284"/>
      <c r="D86" s="285"/>
      <c r="E86" s="59">
        <f>E49</f>
        <v>313.83</v>
      </c>
    </row>
    <row r="87" spans="1:5" x14ac:dyDescent="0.25">
      <c r="A87" s="99" t="s">
        <v>3</v>
      </c>
      <c r="B87" s="240" t="s">
        <v>185</v>
      </c>
      <c r="C87" s="284"/>
      <c r="D87" s="285"/>
      <c r="E87" s="59">
        <f>E57</f>
        <v>14.43</v>
      </c>
    </row>
    <row r="88" spans="1:5" x14ac:dyDescent="0.25">
      <c r="A88" s="99" t="s">
        <v>5</v>
      </c>
      <c r="B88" s="240" t="s">
        <v>186</v>
      </c>
      <c r="C88" s="284"/>
      <c r="D88" s="285"/>
      <c r="E88" s="59">
        <f>E75</f>
        <v>25.88</v>
      </c>
    </row>
    <row r="89" spans="1:5" ht="15.75" thickBot="1" x14ac:dyDescent="0.3">
      <c r="A89" s="120" t="s">
        <v>17</v>
      </c>
      <c r="B89" s="272" t="s">
        <v>187</v>
      </c>
      <c r="C89" s="273"/>
      <c r="D89" s="274"/>
      <c r="E89" s="87">
        <f>E82</f>
        <v>120.18</v>
      </c>
    </row>
    <row r="90" spans="1:5" ht="15.75" thickBot="1" x14ac:dyDescent="0.3">
      <c r="A90" s="275" t="s">
        <v>44</v>
      </c>
      <c r="B90" s="276"/>
      <c r="C90" s="276"/>
      <c r="D90" s="277"/>
      <c r="E90" s="124">
        <f>SUM(E85:E89)</f>
        <v>676.17</v>
      </c>
    </row>
    <row r="91" spans="1:5" ht="13.5" hidden="1" customHeight="1" x14ac:dyDescent="0.25">
      <c r="A91" s="300" t="s">
        <v>246</v>
      </c>
      <c r="B91" s="301"/>
      <c r="C91" s="301"/>
      <c r="D91" s="301"/>
      <c r="E91" s="103">
        <f>E90*2</f>
        <v>1352.34</v>
      </c>
    </row>
    <row r="92" spans="1:5" ht="13.5" hidden="1" customHeight="1" x14ac:dyDescent="0.25">
      <c r="A92" s="191"/>
      <c r="B92" s="192"/>
      <c r="C92" s="192"/>
      <c r="D92" s="192"/>
      <c r="E92" s="193"/>
    </row>
  </sheetData>
  <mergeCells count="64">
    <mergeCell ref="A91:D91"/>
    <mergeCell ref="A92:E92"/>
    <mergeCell ref="C17:D17"/>
    <mergeCell ref="B85:D85"/>
    <mergeCell ref="B86:D86"/>
    <mergeCell ref="B87:D87"/>
    <mergeCell ref="B88:D88"/>
    <mergeCell ref="B89:D89"/>
    <mergeCell ref="A90:D90"/>
    <mergeCell ref="A75:C75"/>
    <mergeCell ref="A76:D76"/>
    <mergeCell ref="B77:D77"/>
    <mergeCell ref="A82:C82"/>
    <mergeCell ref="A83:E83"/>
    <mergeCell ref="A84:D84"/>
    <mergeCell ref="A66:C66"/>
    <mergeCell ref="A67:D67"/>
    <mergeCell ref="B68:D68"/>
    <mergeCell ref="A70:C70"/>
    <mergeCell ref="A71:D71"/>
    <mergeCell ref="B72:D72"/>
    <mergeCell ref="B65:C65"/>
    <mergeCell ref="F65:O65"/>
    <mergeCell ref="B46:D46"/>
    <mergeCell ref="A49:C49"/>
    <mergeCell ref="A50:D50"/>
    <mergeCell ref="B51:D51"/>
    <mergeCell ref="A57:C57"/>
    <mergeCell ref="A58:D58"/>
    <mergeCell ref="B59:D59"/>
    <mergeCell ref="F61:M61"/>
    <mergeCell ref="F62:O62"/>
    <mergeCell ref="F63:O63"/>
    <mergeCell ref="F64:O64"/>
    <mergeCell ref="A45:D45"/>
    <mergeCell ref="A22:D22"/>
    <mergeCell ref="B23:D23"/>
    <mergeCell ref="A26:C26"/>
    <mergeCell ref="A27:E27"/>
    <mergeCell ref="B28:D28"/>
    <mergeCell ref="A37:C37"/>
    <mergeCell ref="B38:D38"/>
    <mergeCell ref="B39:D39"/>
    <mergeCell ref="B40:D40"/>
    <mergeCell ref="B41:D41"/>
    <mergeCell ref="A44:D44"/>
    <mergeCell ref="A21:D21"/>
    <mergeCell ref="A7:E7"/>
    <mergeCell ref="A8:E8"/>
    <mergeCell ref="A9:E9"/>
    <mergeCell ref="C10:E10"/>
    <mergeCell ref="C12:E12"/>
    <mergeCell ref="C13:E13"/>
    <mergeCell ref="A14:D14"/>
    <mergeCell ref="B15:D15"/>
    <mergeCell ref="C20:D20"/>
    <mergeCell ref="B18:D18"/>
    <mergeCell ref="B19:D19"/>
    <mergeCell ref="C6:E6"/>
    <mergeCell ref="A1:E1"/>
    <mergeCell ref="A2:E2"/>
    <mergeCell ref="C3:E3"/>
    <mergeCell ref="C4:E4"/>
    <mergeCell ref="C5:E5"/>
  </mergeCells>
  <hyperlinks>
    <hyperlink ref="B36" r:id="rId1" display="08 - Sebrae 0,3% ou 0,6% - IN nº 03, MPS/SRP/2005, Anexo II e III ver código da Tabela" xr:uid="{00000000-0004-0000-0600-000000000000}"/>
  </hyperlinks>
  <pageMargins left="0.511811024" right="0.511811024" top="0.78740157499999996" bottom="0.78740157499999996" header="0.31496062000000002" footer="0.31496062000000002"/>
  <pageSetup paperSize="9" scale="47"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1"/>
  <sheetViews>
    <sheetView showGridLines="0" zoomScale="85" zoomScaleNormal="85" zoomScaleSheetLayoutView="70" zoomScalePageLayoutView="80" workbookViewId="0">
      <selection activeCell="K29" sqref="K29"/>
    </sheetView>
  </sheetViews>
  <sheetFormatPr defaultColWidth="9.140625" defaultRowHeight="15.75" x14ac:dyDescent="0.25"/>
  <cols>
    <col min="1" max="1" width="8.28515625" style="29" customWidth="1"/>
    <col min="2" max="2" width="33.7109375" style="30" customWidth="1"/>
    <col min="3" max="3" width="11.7109375" style="30" customWidth="1"/>
    <col min="4" max="4" width="12.85546875" style="29" customWidth="1"/>
    <col min="5" max="5" width="8.7109375" style="31" customWidth="1"/>
    <col min="6" max="6" width="12.7109375" style="31" customWidth="1"/>
    <col min="7" max="7" width="10.7109375" style="31" customWidth="1"/>
    <col min="8" max="8" width="18.28515625" style="31" customWidth="1"/>
    <col min="9" max="9" width="23.28515625" style="32" customWidth="1"/>
    <col min="10" max="16384" width="9.140625" style="28"/>
  </cols>
  <sheetData>
    <row r="1" spans="1:9" ht="21.75" thickBot="1" x14ac:dyDescent="0.3">
      <c r="A1" s="304" t="s">
        <v>255</v>
      </c>
      <c r="B1" s="305"/>
      <c r="C1" s="305"/>
      <c r="D1" s="305"/>
      <c r="E1" s="305"/>
      <c r="F1" s="305"/>
      <c r="G1" s="305"/>
      <c r="H1" s="305"/>
      <c r="I1" s="306"/>
    </row>
    <row r="2" spans="1:9" x14ac:dyDescent="0.25">
      <c r="A2" s="307" t="s">
        <v>129</v>
      </c>
      <c r="B2" s="307"/>
      <c r="C2" s="118" t="s">
        <v>130</v>
      </c>
      <c r="D2" s="307" t="s">
        <v>131</v>
      </c>
      <c r="E2" s="307"/>
      <c r="F2" s="312" t="s">
        <v>135</v>
      </c>
      <c r="G2" s="313"/>
      <c r="H2" s="310" t="s">
        <v>132</v>
      </c>
      <c r="I2" s="310"/>
    </row>
    <row r="3" spans="1:9" x14ac:dyDescent="0.25">
      <c r="A3" s="308" t="s">
        <v>269</v>
      </c>
      <c r="B3" s="309"/>
      <c r="C3" s="42">
        <v>2</v>
      </c>
      <c r="D3" s="311">
        <v>110</v>
      </c>
      <c r="E3" s="311"/>
      <c r="F3" s="315">
        <f>D3*C3</f>
        <v>220</v>
      </c>
      <c r="G3" s="316"/>
      <c r="H3" s="314">
        <f>+F3/12</f>
        <v>18.329999999999998</v>
      </c>
      <c r="I3" s="314"/>
    </row>
    <row r="4" spans="1:9" ht="20.25" customHeight="1" x14ac:dyDescent="0.25">
      <c r="A4" s="308" t="s">
        <v>273</v>
      </c>
      <c r="B4" s="309"/>
      <c r="C4" s="42">
        <v>2</v>
      </c>
      <c r="D4" s="311">
        <v>65</v>
      </c>
      <c r="E4" s="311"/>
      <c r="F4" s="315">
        <f t="shared" ref="F4:F13" si="0">D4*C4</f>
        <v>130</v>
      </c>
      <c r="G4" s="316"/>
      <c r="H4" s="314">
        <f t="shared" ref="H4:H13" si="1">F4/12</f>
        <v>10.83</v>
      </c>
      <c r="I4" s="314"/>
    </row>
    <row r="5" spans="1:9" ht="20.25" customHeight="1" x14ac:dyDescent="0.25">
      <c r="A5" s="308" t="s">
        <v>274</v>
      </c>
      <c r="B5" s="309"/>
      <c r="C5" s="42">
        <v>2</v>
      </c>
      <c r="D5" s="311">
        <v>60</v>
      </c>
      <c r="E5" s="311"/>
      <c r="F5" s="315">
        <f t="shared" si="0"/>
        <v>120</v>
      </c>
      <c r="G5" s="316"/>
      <c r="H5" s="314">
        <f t="shared" si="1"/>
        <v>10</v>
      </c>
      <c r="I5" s="314"/>
    </row>
    <row r="6" spans="1:9" x14ac:dyDescent="0.25">
      <c r="A6" s="308" t="s">
        <v>190</v>
      </c>
      <c r="B6" s="309"/>
      <c r="C6" s="43">
        <v>2</v>
      </c>
      <c r="D6" s="311">
        <v>80</v>
      </c>
      <c r="E6" s="311"/>
      <c r="F6" s="315">
        <f t="shared" si="0"/>
        <v>160</v>
      </c>
      <c r="G6" s="316"/>
      <c r="H6" s="314">
        <f t="shared" si="1"/>
        <v>13.33</v>
      </c>
      <c r="I6" s="314"/>
    </row>
    <row r="7" spans="1:9" x14ac:dyDescent="0.25">
      <c r="A7" s="308" t="s">
        <v>195</v>
      </c>
      <c r="B7" s="309"/>
      <c r="C7" s="43">
        <v>2</v>
      </c>
      <c r="D7" s="311">
        <v>79</v>
      </c>
      <c r="E7" s="311"/>
      <c r="F7" s="315">
        <f t="shared" si="0"/>
        <v>158</v>
      </c>
      <c r="G7" s="316"/>
      <c r="H7" s="314">
        <f t="shared" si="1"/>
        <v>13.17</v>
      </c>
      <c r="I7" s="314"/>
    </row>
    <row r="8" spans="1:9" ht="15.75" customHeight="1" x14ac:dyDescent="0.25">
      <c r="A8" s="308" t="s">
        <v>191</v>
      </c>
      <c r="B8" s="309"/>
      <c r="C8" s="43">
        <v>1</v>
      </c>
      <c r="D8" s="311">
        <v>35</v>
      </c>
      <c r="E8" s="311"/>
      <c r="F8" s="315">
        <f t="shared" si="0"/>
        <v>35</v>
      </c>
      <c r="G8" s="316"/>
      <c r="H8" s="314">
        <f t="shared" si="1"/>
        <v>2.92</v>
      </c>
      <c r="I8" s="314"/>
    </row>
    <row r="9" spans="1:9" ht="18" customHeight="1" x14ac:dyDescent="0.25">
      <c r="A9" s="308" t="s">
        <v>192</v>
      </c>
      <c r="B9" s="309"/>
      <c r="C9" s="43">
        <v>2</v>
      </c>
      <c r="D9" s="311">
        <v>10</v>
      </c>
      <c r="E9" s="311"/>
      <c r="F9" s="315">
        <f>D9*C9</f>
        <v>20</v>
      </c>
      <c r="G9" s="316"/>
      <c r="H9" s="314">
        <f>F9/12</f>
        <v>1.67</v>
      </c>
      <c r="I9" s="314"/>
    </row>
    <row r="10" spans="1:9" ht="18" customHeight="1" x14ac:dyDescent="0.25">
      <c r="A10" s="308" t="s">
        <v>256</v>
      </c>
      <c r="B10" s="309"/>
      <c r="C10" s="43">
        <v>1</v>
      </c>
      <c r="D10" s="311">
        <v>135</v>
      </c>
      <c r="E10" s="311"/>
      <c r="F10" s="315">
        <f t="shared" ref="F10" si="2">D10*C10</f>
        <v>135</v>
      </c>
      <c r="G10" s="316"/>
      <c r="H10" s="314">
        <f t="shared" ref="H10" si="3">F10/12</f>
        <v>11.25</v>
      </c>
      <c r="I10" s="314"/>
    </row>
    <row r="11" spans="1:9" ht="15.75" customHeight="1" x14ac:dyDescent="0.25">
      <c r="A11" s="308" t="s">
        <v>257</v>
      </c>
      <c r="B11" s="309"/>
      <c r="C11" s="43">
        <v>1</v>
      </c>
      <c r="D11" s="311">
        <v>50</v>
      </c>
      <c r="E11" s="311"/>
      <c r="F11" s="315">
        <f t="shared" si="0"/>
        <v>50</v>
      </c>
      <c r="G11" s="316"/>
      <c r="H11" s="314">
        <f t="shared" si="1"/>
        <v>4.17</v>
      </c>
      <c r="I11" s="314"/>
    </row>
    <row r="12" spans="1:9" x14ac:dyDescent="0.25">
      <c r="A12" s="308" t="s">
        <v>193</v>
      </c>
      <c r="B12" s="309"/>
      <c r="C12" s="43">
        <v>1</v>
      </c>
      <c r="D12" s="311">
        <v>20</v>
      </c>
      <c r="E12" s="311"/>
      <c r="F12" s="315">
        <f t="shared" si="0"/>
        <v>20</v>
      </c>
      <c r="G12" s="316"/>
      <c r="H12" s="314">
        <f t="shared" si="1"/>
        <v>1.67</v>
      </c>
      <c r="I12" s="314"/>
    </row>
    <row r="13" spans="1:9" ht="20.25" customHeight="1" x14ac:dyDescent="0.25">
      <c r="A13" s="308" t="s">
        <v>194</v>
      </c>
      <c r="B13" s="309"/>
      <c r="C13" s="43">
        <v>1</v>
      </c>
      <c r="D13" s="311">
        <v>35</v>
      </c>
      <c r="E13" s="311"/>
      <c r="F13" s="315">
        <f t="shared" si="0"/>
        <v>35</v>
      </c>
      <c r="G13" s="316"/>
      <c r="H13" s="314">
        <f t="shared" si="1"/>
        <v>2.92</v>
      </c>
      <c r="I13" s="314"/>
    </row>
    <row r="14" spans="1:9" x14ac:dyDescent="0.25">
      <c r="A14" s="319" t="s">
        <v>25</v>
      </c>
      <c r="B14" s="325"/>
      <c r="C14" s="325"/>
      <c r="D14" s="325"/>
      <c r="E14" s="325"/>
      <c r="F14" s="325"/>
      <c r="G14" s="320"/>
      <c r="H14" s="323">
        <f>SUM(H3:I13)</f>
        <v>90.26</v>
      </c>
      <c r="I14" s="324"/>
    </row>
    <row r="15" spans="1:9" x14ac:dyDescent="0.25">
      <c r="A15" s="44"/>
      <c r="B15" s="44"/>
      <c r="C15" s="44"/>
      <c r="D15" s="44"/>
      <c r="E15" s="44"/>
      <c r="F15" s="44"/>
      <c r="G15" s="44"/>
      <c r="H15" s="45"/>
      <c r="I15" s="45"/>
    </row>
    <row r="16" spans="1:9" x14ac:dyDescent="0.25">
      <c r="A16" s="44"/>
      <c r="B16" s="44"/>
      <c r="C16" s="44"/>
      <c r="D16" s="44"/>
      <c r="E16" s="44"/>
      <c r="F16" s="44"/>
      <c r="G16" s="44"/>
      <c r="H16" s="45"/>
      <c r="I16" s="45"/>
    </row>
    <row r="17" spans="1:12" ht="16.5" thickBot="1" x14ac:dyDescent="0.3">
      <c r="A17" s="44"/>
      <c r="B17" s="44"/>
      <c r="C17" s="44"/>
      <c r="D17" s="44"/>
      <c r="E17" s="44"/>
      <c r="F17" s="44"/>
      <c r="G17" s="44"/>
      <c r="H17" s="45"/>
      <c r="I17" s="45"/>
    </row>
    <row r="18" spans="1:12" ht="21" x14ac:dyDescent="0.25">
      <c r="A18" s="326" t="s">
        <v>210</v>
      </c>
      <c r="B18" s="326"/>
      <c r="C18" s="326"/>
      <c r="D18" s="326"/>
      <c r="E18" s="326"/>
      <c r="F18" s="326"/>
      <c r="G18" s="326"/>
      <c r="H18" s="326"/>
      <c r="I18" s="326"/>
    </row>
    <row r="19" spans="1:12" ht="30.75" customHeight="1" x14ac:dyDescent="0.25">
      <c r="A19" s="319" t="s">
        <v>129</v>
      </c>
      <c r="B19" s="320"/>
      <c r="C19" s="33" t="s">
        <v>130</v>
      </c>
      <c r="D19" s="319" t="s">
        <v>131</v>
      </c>
      <c r="E19" s="320"/>
      <c r="F19" s="321" t="s">
        <v>277</v>
      </c>
      <c r="G19" s="322"/>
      <c r="H19" s="119" t="s">
        <v>212</v>
      </c>
      <c r="I19" s="88" t="s">
        <v>132</v>
      </c>
    </row>
    <row r="20" spans="1:12" ht="15.75" customHeight="1" x14ac:dyDescent="0.25">
      <c r="A20" s="308" t="s">
        <v>196</v>
      </c>
      <c r="B20" s="309"/>
      <c r="C20" s="42">
        <v>2</v>
      </c>
      <c r="D20" s="317">
        <v>20</v>
      </c>
      <c r="E20" s="318"/>
      <c r="F20" s="315">
        <f>D20*C20</f>
        <v>40</v>
      </c>
      <c r="G20" s="316"/>
      <c r="H20" s="46">
        <v>12</v>
      </c>
      <c r="I20" s="89">
        <f t="shared" ref="I20:I25" si="4">F20/H20</f>
        <v>3.33</v>
      </c>
    </row>
    <row r="21" spans="1:12" ht="15.75" customHeight="1" x14ac:dyDescent="0.25">
      <c r="A21" s="308" t="s">
        <v>199</v>
      </c>
      <c r="B21" s="309"/>
      <c r="C21" s="43">
        <v>1</v>
      </c>
      <c r="D21" s="317">
        <v>15</v>
      </c>
      <c r="E21" s="318"/>
      <c r="F21" s="315">
        <f t="shared" ref="F21:F23" si="5">D21*C21</f>
        <v>15</v>
      </c>
      <c r="G21" s="316"/>
      <c r="H21" s="46">
        <v>30</v>
      </c>
      <c r="I21" s="89">
        <f t="shared" si="4"/>
        <v>0.5</v>
      </c>
    </row>
    <row r="22" spans="1:12" ht="15.75" customHeight="1" x14ac:dyDescent="0.25">
      <c r="A22" s="308" t="s">
        <v>200</v>
      </c>
      <c r="B22" s="309"/>
      <c r="C22" s="43">
        <v>1</v>
      </c>
      <c r="D22" s="328">
        <v>9</v>
      </c>
      <c r="E22" s="329"/>
      <c r="F22" s="315">
        <f t="shared" si="5"/>
        <v>9</v>
      </c>
      <c r="G22" s="316"/>
      <c r="H22" s="46">
        <v>30</v>
      </c>
      <c r="I22" s="89">
        <f t="shared" si="4"/>
        <v>0.3</v>
      </c>
    </row>
    <row r="23" spans="1:12" ht="15.75" customHeight="1" x14ac:dyDescent="0.25">
      <c r="A23" s="308" t="s">
        <v>209</v>
      </c>
      <c r="B23" s="309"/>
      <c r="C23" s="43">
        <v>2</v>
      </c>
      <c r="D23" s="311">
        <v>55</v>
      </c>
      <c r="E23" s="311"/>
      <c r="F23" s="315">
        <f t="shared" si="5"/>
        <v>110</v>
      </c>
      <c r="G23" s="316"/>
      <c r="H23" s="46">
        <v>36</v>
      </c>
      <c r="I23" s="89">
        <f t="shared" si="4"/>
        <v>3.06</v>
      </c>
    </row>
    <row r="24" spans="1:12" x14ac:dyDescent="0.25">
      <c r="A24" s="308" t="s">
        <v>276</v>
      </c>
      <c r="B24" s="309"/>
      <c r="C24" s="43">
        <v>8.4</v>
      </c>
      <c r="D24" s="328">
        <v>6.5</v>
      </c>
      <c r="E24" s="329"/>
      <c r="F24" s="315">
        <f>D24*C24</f>
        <v>54.6</v>
      </c>
      <c r="G24" s="316"/>
      <c r="H24" s="46">
        <v>1</v>
      </c>
      <c r="I24" s="89">
        <f t="shared" si="4"/>
        <v>54.6</v>
      </c>
    </row>
    <row r="25" spans="1:12" x14ac:dyDescent="0.25">
      <c r="A25" s="308" t="s">
        <v>278</v>
      </c>
      <c r="B25" s="309"/>
      <c r="C25" s="155">
        <v>285.60000000000002</v>
      </c>
      <c r="D25" s="328">
        <v>0.14000000000000001</v>
      </c>
      <c r="E25" s="329"/>
      <c r="F25" s="315">
        <f>D25*C25</f>
        <v>39.979999999999997</v>
      </c>
      <c r="G25" s="316"/>
      <c r="H25" s="46">
        <v>1</v>
      </c>
      <c r="I25" s="89">
        <f t="shared" si="4"/>
        <v>39.979999999999997</v>
      </c>
      <c r="K25" s="154"/>
      <c r="L25" s="154"/>
    </row>
    <row r="26" spans="1:12" x14ac:dyDescent="0.25">
      <c r="A26" s="319" t="s">
        <v>25</v>
      </c>
      <c r="B26" s="325"/>
      <c r="C26" s="325"/>
      <c r="D26" s="325"/>
      <c r="E26" s="325"/>
      <c r="F26" s="325"/>
      <c r="G26" s="320"/>
      <c r="H26" s="327">
        <f>SUM(I20:I25)</f>
        <v>101.77</v>
      </c>
      <c r="I26" s="327"/>
    </row>
    <row r="28" spans="1:12" ht="21" x14ac:dyDescent="0.25">
      <c r="A28" s="336" t="s">
        <v>211</v>
      </c>
      <c r="B28" s="336"/>
      <c r="C28" s="336"/>
      <c r="D28" s="336"/>
      <c r="E28" s="336"/>
      <c r="F28" s="336"/>
      <c r="G28" s="336"/>
      <c r="H28" s="336"/>
      <c r="I28" s="336"/>
    </row>
    <row r="29" spans="1:12" ht="30.75" customHeight="1" x14ac:dyDescent="0.25">
      <c r="A29" s="307" t="s">
        <v>129</v>
      </c>
      <c r="B29" s="307"/>
      <c r="C29" s="33" t="s">
        <v>130</v>
      </c>
      <c r="D29" s="307" t="s">
        <v>131</v>
      </c>
      <c r="E29" s="307"/>
      <c r="F29" s="312" t="s">
        <v>277</v>
      </c>
      <c r="G29" s="313"/>
      <c r="H29" s="119" t="s">
        <v>212</v>
      </c>
      <c r="I29" s="88" t="s">
        <v>132</v>
      </c>
    </row>
    <row r="30" spans="1:12" ht="15.75" customHeight="1" x14ac:dyDescent="0.25">
      <c r="A30" s="308" t="s">
        <v>197</v>
      </c>
      <c r="B30" s="309"/>
      <c r="C30" s="42">
        <v>1</v>
      </c>
      <c r="D30" s="311">
        <v>45</v>
      </c>
      <c r="E30" s="311"/>
      <c r="F30" s="315">
        <f t="shared" ref="F30:F40" si="6">D30*C30</f>
        <v>45</v>
      </c>
      <c r="G30" s="316"/>
      <c r="H30" s="46">
        <v>30</v>
      </c>
      <c r="I30" s="89">
        <f>F30/H30</f>
        <v>1.5</v>
      </c>
    </row>
    <row r="31" spans="1:12" ht="15.75" customHeight="1" x14ac:dyDescent="0.25">
      <c r="A31" s="308" t="s">
        <v>198</v>
      </c>
      <c r="B31" s="309"/>
      <c r="C31" s="43">
        <v>1</v>
      </c>
      <c r="D31" s="311">
        <v>30</v>
      </c>
      <c r="E31" s="311"/>
      <c r="F31" s="315">
        <f t="shared" si="6"/>
        <v>30</v>
      </c>
      <c r="G31" s="316"/>
      <c r="H31" s="46">
        <v>30</v>
      </c>
      <c r="I31" s="89">
        <f t="shared" ref="I31:I40" si="7">F31/H31</f>
        <v>1</v>
      </c>
    </row>
    <row r="32" spans="1:12" ht="15.75" customHeight="1" x14ac:dyDescent="0.25">
      <c r="A32" s="308" t="s">
        <v>201</v>
      </c>
      <c r="B32" s="309"/>
      <c r="C32" s="43">
        <v>1</v>
      </c>
      <c r="D32" s="328">
        <v>290</v>
      </c>
      <c r="E32" s="329"/>
      <c r="F32" s="315">
        <f t="shared" si="6"/>
        <v>290</v>
      </c>
      <c r="G32" s="316"/>
      <c r="H32" s="46">
        <v>30</v>
      </c>
      <c r="I32" s="89">
        <f t="shared" si="7"/>
        <v>9.67</v>
      </c>
    </row>
    <row r="33" spans="1:9" ht="15.75" customHeight="1" x14ac:dyDescent="0.25">
      <c r="A33" s="308" t="s">
        <v>202</v>
      </c>
      <c r="B33" s="309"/>
      <c r="C33" s="43">
        <v>1</v>
      </c>
      <c r="D33" s="328">
        <v>6000</v>
      </c>
      <c r="E33" s="329"/>
      <c r="F33" s="315">
        <f t="shared" si="6"/>
        <v>6000</v>
      </c>
      <c r="G33" s="316"/>
      <c r="H33" s="46">
        <v>120</v>
      </c>
      <c r="I33" s="89">
        <f t="shared" si="7"/>
        <v>50</v>
      </c>
    </row>
    <row r="34" spans="1:9" ht="15.75" customHeight="1" x14ac:dyDescent="0.25">
      <c r="A34" s="308" t="s">
        <v>203</v>
      </c>
      <c r="B34" s="309"/>
      <c r="C34" s="43">
        <v>1</v>
      </c>
      <c r="D34" s="328">
        <v>75</v>
      </c>
      <c r="E34" s="329"/>
      <c r="F34" s="315">
        <f t="shared" si="6"/>
        <v>75</v>
      </c>
      <c r="G34" s="316"/>
      <c r="H34" s="46">
        <v>30</v>
      </c>
      <c r="I34" s="89">
        <f t="shared" si="7"/>
        <v>2.5</v>
      </c>
    </row>
    <row r="35" spans="1:9" x14ac:dyDescent="0.25">
      <c r="A35" s="330" t="s">
        <v>204</v>
      </c>
      <c r="B35" s="331"/>
      <c r="C35" s="43">
        <v>1</v>
      </c>
      <c r="D35" s="332">
        <v>135</v>
      </c>
      <c r="E35" s="333"/>
      <c r="F35" s="334">
        <f t="shared" si="6"/>
        <v>135</v>
      </c>
      <c r="G35" s="335"/>
      <c r="H35" s="156">
        <v>30</v>
      </c>
      <c r="I35" s="157">
        <f t="shared" si="7"/>
        <v>4.5</v>
      </c>
    </row>
    <row r="36" spans="1:9" ht="15.75" customHeight="1" x14ac:dyDescent="0.25">
      <c r="A36" s="330" t="s">
        <v>205</v>
      </c>
      <c r="B36" s="331"/>
      <c r="C36" s="43">
        <v>6</v>
      </c>
      <c r="D36" s="332">
        <v>12</v>
      </c>
      <c r="E36" s="333"/>
      <c r="F36" s="334">
        <f t="shared" si="6"/>
        <v>72</v>
      </c>
      <c r="G36" s="335"/>
      <c r="H36" s="156">
        <v>1</v>
      </c>
      <c r="I36" s="157">
        <f t="shared" si="7"/>
        <v>72</v>
      </c>
    </row>
    <row r="37" spans="1:9" ht="33" customHeight="1" x14ac:dyDescent="0.25">
      <c r="A37" s="308" t="s">
        <v>206</v>
      </c>
      <c r="B37" s="309"/>
      <c r="C37" s="43">
        <v>1</v>
      </c>
      <c r="D37" s="328">
        <v>110</v>
      </c>
      <c r="E37" s="329"/>
      <c r="F37" s="315">
        <f t="shared" si="6"/>
        <v>110</v>
      </c>
      <c r="G37" s="316"/>
      <c r="H37" s="46">
        <v>12</v>
      </c>
      <c r="I37" s="89">
        <f t="shared" si="7"/>
        <v>9.17</v>
      </c>
    </row>
    <row r="38" spans="1:9" ht="15.75" customHeight="1" x14ac:dyDescent="0.25">
      <c r="A38" s="308" t="s">
        <v>207</v>
      </c>
      <c r="B38" s="309"/>
      <c r="C38" s="43">
        <v>1</v>
      </c>
      <c r="D38" s="328">
        <v>830</v>
      </c>
      <c r="E38" s="329"/>
      <c r="F38" s="315">
        <f t="shared" si="6"/>
        <v>830</v>
      </c>
      <c r="G38" s="316"/>
      <c r="H38" s="46">
        <v>60</v>
      </c>
      <c r="I38" s="89">
        <f t="shared" si="7"/>
        <v>13.83</v>
      </c>
    </row>
    <row r="39" spans="1:9" ht="15.75" customHeight="1" x14ac:dyDescent="0.25">
      <c r="A39" s="308" t="s">
        <v>208</v>
      </c>
      <c r="B39" s="309"/>
      <c r="C39" s="43">
        <v>1</v>
      </c>
      <c r="D39" s="328">
        <v>260</v>
      </c>
      <c r="E39" s="329"/>
      <c r="F39" s="315">
        <f t="shared" si="6"/>
        <v>260</v>
      </c>
      <c r="G39" s="316"/>
      <c r="H39" s="46">
        <v>60</v>
      </c>
      <c r="I39" s="89">
        <f t="shared" si="7"/>
        <v>4.33</v>
      </c>
    </row>
    <row r="40" spans="1:9" x14ac:dyDescent="0.25">
      <c r="A40" s="308" t="s">
        <v>275</v>
      </c>
      <c r="B40" s="309"/>
      <c r="C40" s="43">
        <v>1</v>
      </c>
      <c r="D40" s="328">
        <v>9376</v>
      </c>
      <c r="E40" s="329"/>
      <c r="F40" s="315">
        <f t="shared" si="6"/>
        <v>9376</v>
      </c>
      <c r="G40" s="316"/>
      <c r="H40" s="46">
        <v>120</v>
      </c>
      <c r="I40" s="89">
        <f t="shared" si="7"/>
        <v>78.13</v>
      </c>
    </row>
    <row r="41" spans="1:9" x14ac:dyDescent="0.25">
      <c r="A41" s="319" t="s">
        <v>25</v>
      </c>
      <c r="B41" s="325"/>
      <c r="C41" s="325"/>
      <c r="D41" s="325"/>
      <c r="E41" s="325"/>
      <c r="F41" s="325"/>
      <c r="G41" s="320"/>
      <c r="H41" s="323">
        <f>SUM(I30:I40)</f>
        <v>246.63</v>
      </c>
      <c r="I41" s="324"/>
    </row>
  </sheetData>
  <mergeCells count="114">
    <mergeCell ref="H5:I5"/>
    <mergeCell ref="A40:B40"/>
    <mergeCell ref="D40:E40"/>
    <mergeCell ref="F40:G40"/>
    <mergeCell ref="A24:B24"/>
    <mergeCell ref="D24:E24"/>
    <mergeCell ref="F24:G24"/>
    <mergeCell ref="A25:B25"/>
    <mergeCell ref="D25:E25"/>
    <mergeCell ref="F25:G25"/>
    <mergeCell ref="A35:B35"/>
    <mergeCell ref="D35:E35"/>
    <mergeCell ref="F35:G35"/>
    <mergeCell ref="A36:B36"/>
    <mergeCell ref="D36:E36"/>
    <mergeCell ref="F36:G36"/>
    <mergeCell ref="A33:B33"/>
    <mergeCell ref="D33:E33"/>
    <mergeCell ref="F33:G33"/>
    <mergeCell ref="A34:B34"/>
    <mergeCell ref="D34:E34"/>
    <mergeCell ref="F34:G34"/>
    <mergeCell ref="A28:I28"/>
    <mergeCell ref="A29:B29"/>
    <mergeCell ref="A41:G41"/>
    <mergeCell ref="H41:I41"/>
    <mergeCell ref="A39:B39"/>
    <mergeCell ref="D39:E39"/>
    <mergeCell ref="F39:G39"/>
    <mergeCell ref="A37:B37"/>
    <mergeCell ref="D37:E37"/>
    <mergeCell ref="F37:G37"/>
    <mergeCell ref="A38:B38"/>
    <mergeCell ref="D38:E38"/>
    <mergeCell ref="F38:G38"/>
    <mergeCell ref="D29:E29"/>
    <mergeCell ref="F29:G29"/>
    <mergeCell ref="A32:B32"/>
    <mergeCell ref="D32:E32"/>
    <mergeCell ref="F32:G32"/>
    <mergeCell ref="A31:B31"/>
    <mergeCell ref="D31:E31"/>
    <mergeCell ref="F31:G31"/>
    <mergeCell ref="A30:B30"/>
    <mergeCell ref="D30:E30"/>
    <mergeCell ref="F30:G30"/>
    <mergeCell ref="A21:B21"/>
    <mergeCell ref="D21:E21"/>
    <mergeCell ref="F21:G21"/>
    <mergeCell ref="H26:I26"/>
    <mergeCell ref="A22:B22"/>
    <mergeCell ref="D22:E22"/>
    <mergeCell ref="A23:B23"/>
    <mergeCell ref="D23:E23"/>
    <mergeCell ref="F22:G22"/>
    <mergeCell ref="F23:G23"/>
    <mergeCell ref="A26:G26"/>
    <mergeCell ref="A20:B20"/>
    <mergeCell ref="D20:E20"/>
    <mergeCell ref="F20:G20"/>
    <mergeCell ref="D19:E19"/>
    <mergeCell ref="F19:G19"/>
    <mergeCell ref="H14:I14"/>
    <mergeCell ref="A14:G14"/>
    <mergeCell ref="A18:I18"/>
    <mergeCell ref="A19:B19"/>
    <mergeCell ref="A13:B13"/>
    <mergeCell ref="H13:I13"/>
    <mergeCell ref="D13:E13"/>
    <mergeCell ref="F13:G13"/>
    <mergeCell ref="A12:B12"/>
    <mergeCell ref="D12:E12"/>
    <mergeCell ref="F12:G12"/>
    <mergeCell ref="H12:I12"/>
    <mergeCell ref="A8:B8"/>
    <mergeCell ref="D8:E8"/>
    <mergeCell ref="F8:G8"/>
    <mergeCell ref="H8:I8"/>
    <mergeCell ref="A9:B9"/>
    <mergeCell ref="D9:E9"/>
    <mergeCell ref="F9:G9"/>
    <mergeCell ref="H9:I9"/>
    <mergeCell ref="A11:B11"/>
    <mergeCell ref="D11:E11"/>
    <mergeCell ref="F11:G11"/>
    <mergeCell ref="H11:I11"/>
    <mergeCell ref="A10:B10"/>
    <mergeCell ref="D10:E10"/>
    <mergeCell ref="F10:G10"/>
    <mergeCell ref="H10:I10"/>
    <mergeCell ref="A1:I1"/>
    <mergeCell ref="A2:B2"/>
    <mergeCell ref="A3:B3"/>
    <mergeCell ref="D2:E2"/>
    <mergeCell ref="H2:I2"/>
    <mergeCell ref="D3:E3"/>
    <mergeCell ref="F2:G2"/>
    <mergeCell ref="A6:B6"/>
    <mergeCell ref="A7:B7"/>
    <mergeCell ref="D4:E4"/>
    <mergeCell ref="H3:I3"/>
    <mergeCell ref="H4:I4"/>
    <mergeCell ref="H6:I6"/>
    <mergeCell ref="H7:I7"/>
    <mergeCell ref="A4:B4"/>
    <mergeCell ref="D6:E6"/>
    <mergeCell ref="D7:E7"/>
    <mergeCell ref="F3:G3"/>
    <mergeCell ref="F4:G4"/>
    <mergeCell ref="F6:G6"/>
    <mergeCell ref="F7:G7"/>
    <mergeCell ref="A5:B5"/>
    <mergeCell ref="D5:E5"/>
    <mergeCell ref="F5:G5"/>
  </mergeCells>
  <printOptions horizontalCentered="1"/>
  <pageMargins left="0.51181102362204722" right="0.51181102362204722" top="1.1811023622047245" bottom="1.574803149606299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Plan2</vt:lpstr>
      <vt:lpstr>Plan3</vt:lpstr>
      <vt:lpstr>resumo</vt:lpstr>
      <vt:lpstr>Vigilante diurno (ARM.)</vt:lpstr>
      <vt:lpstr>Vigilante noturno (ARM.) (2)</vt:lpstr>
      <vt:lpstr>Horista Diurno </vt:lpstr>
      <vt:lpstr>Horista Noturno </vt:lpstr>
      <vt:lpstr>Material e uniforme</vt:lpstr>
      <vt:lpstr>'Horista Diurno '!Area_de_impressao</vt:lpstr>
      <vt:lpstr>'Horista Noturno '!Area_de_impressao</vt:lpstr>
      <vt:lpstr>'Material e uniforme'!Area_de_impressao</vt:lpstr>
      <vt:lpstr>resumo!Area_de_impressao</vt:lpstr>
      <vt:lpstr>'Vigilante diurno (ARM.)'!Area_de_impressao</vt:lpstr>
      <vt:lpstr>'Vigilante noturno (ARM.) (2)'!Area_de_impressao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gabryel</dc:creator>
  <cp:lastModifiedBy>Francis Junior Ribeiro Da Silva</cp:lastModifiedBy>
  <cp:lastPrinted>2023-04-03T15:11:46Z</cp:lastPrinted>
  <dcterms:created xsi:type="dcterms:W3CDTF">2014-04-11T01:53:38Z</dcterms:created>
  <dcterms:modified xsi:type="dcterms:W3CDTF">2024-09-20T12:13:37Z</dcterms:modified>
</cp:coreProperties>
</file>