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11882323475\Desktop\Processos\3 - GECOMP\18 - 0050.073524.2022-48 - Limpeza - AMI (Licitatório)\"/>
    </mc:Choice>
  </mc:AlternateContent>
  <bookViews>
    <workbookView xWindow="0" yWindow="0" windowWidth="28800" windowHeight="11730" tabRatio="869" firstSheet="2" activeTab="2"/>
  </bookViews>
  <sheets>
    <sheet name="Plan2" sheetId="2" state="hidden" r:id="rId1"/>
    <sheet name="Plan3" sheetId="3" state="hidden" r:id="rId2"/>
    <sheet name="PLANILHA " sheetId="66" r:id="rId3"/>
    <sheet name="M2" sheetId="57" r:id="rId4"/>
    <sheet name="Auxiliar de Limpeza - Diurno" sheetId="11" r:id="rId5"/>
    <sheet name="Auxiliar de Limpeza - Noturno" sheetId="70" r:id="rId6"/>
    <sheet name="Encarregado - Diurno" sheetId="63" r:id="rId7"/>
    <sheet name="EPI's e Uniformes" sheetId="82" r:id="rId8"/>
    <sheet name="Material de Limpeza" sheetId="83" r:id="rId9"/>
    <sheet name="Equipamentos" sheetId="84" r:id="rId10"/>
  </sheets>
  <definedNames>
    <definedName name="_xlnm.Print_Area" localSheetId="4">'Auxiliar de Limpeza - Diurno'!$A$1:$E$112</definedName>
    <definedName name="_xlnm.Print_Area" localSheetId="5">'Auxiliar de Limpeza - Noturno'!$A$1:$E$112</definedName>
    <definedName name="_xlnm.Print_Area" localSheetId="6">'Encarregado - Diurno'!$A$1:$E$112</definedName>
    <definedName name="_xlnm.Print_Area" localSheetId="9">Equipamentos!$A$1:$I$36</definedName>
    <definedName name="_xlnm.Print_Area" localSheetId="3">'M2'!$A$1:$K$50</definedName>
    <definedName name="_xlnm.Print_Area" localSheetId="8">'Material de Limpeza'!$A$1:$I$33</definedName>
    <definedName name="_xlnm.Print_Area" localSheetId="2">'PLANILHA '!$A$1:$I$33</definedName>
    <definedName name="_xlnm.Print_Titles" localSheetId="4">'Auxiliar de Limpeza - Diurno'!$1:$1</definedName>
    <definedName name="_xlnm.Print_Titles" localSheetId="5">'Auxiliar de Limpeza - Noturno'!$1:$1</definedName>
    <definedName name="_xlnm.Print_Titles" localSheetId="6">'Encarregado - Diurno'!$1:$1</definedName>
    <definedName name="_xlnm.Print_Titles" localSheetId="2">'PLANILHA '!#REF!</definedName>
  </definedNames>
  <calcPr calcId="162913"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4" i="70" l="1"/>
  <c r="E21" i="70"/>
  <c r="D65" i="70"/>
  <c r="E44" i="11"/>
  <c r="D65" i="11"/>
  <c r="E20" i="11"/>
  <c r="D65" i="63" l="1"/>
  <c r="E45" i="11" l="1"/>
  <c r="E45" i="63"/>
  <c r="E84" i="63" l="1"/>
  <c r="E86" i="70"/>
  <c r="E85" i="70"/>
  <c r="E84" i="70"/>
  <c r="E86" i="11"/>
  <c r="E85" i="11"/>
  <c r="E84" i="11"/>
  <c r="I26" i="82"/>
  <c r="I25" i="82"/>
  <c r="I24" i="82"/>
  <c r="H25" i="82"/>
  <c r="H24" i="82"/>
  <c r="E25" i="82"/>
  <c r="E24" i="82"/>
  <c r="I14" i="82"/>
  <c r="I20" i="82"/>
  <c r="I19" i="82"/>
  <c r="I18" i="82"/>
  <c r="H19" i="82"/>
  <c r="H18" i="82"/>
  <c r="E19" i="82"/>
  <c r="E18" i="82"/>
  <c r="I13" i="82"/>
  <c r="I12" i="82"/>
  <c r="I11" i="82"/>
  <c r="I10" i="82"/>
  <c r="I9" i="82"/>
  <c r="I8" i="82"/>
  <c r="I7" i="82"/>
  <c r="I6" i="82"/>
  <c r="I5" i="82"/>
  <c r="I4" i="82"/>
  <c r="I3" i="82"/>
  <c r="H13" i="82"/>
  <c r="H12" i="82"/>
  <c r="H11" i="82"/>
  <c r="H10" i="82"/>
  <c r="H9" i="82"/>
  <c r="H8" i="82"/>
  <c r="H7" i="82"/>
  <c r="H6" i="82"/>
  <c r="H5" i="82"/>
  <c r="H4" i="82"/>
  <c r="H3" i="82"/>
  <c r="E12" i="82"/>
  <c r="E11" i="82"/>
  <c r="E10" i="82"/>
  <c r="E9" i="82"/>
  <c r="E8" i="82"/>
  <c r="E7" i="82"/>
  <c r="E6" i="82"/>
  <c r="E5" i="82"/>
  <c r="E4" i="82"/>
  <c r="E3" i="82"/>
  <c r="I26" i="83"/>
  <c r="I34" i="84"/>
  <c r="I33" i="84"/>
  <c r="I32" i="84"/>
  <c r="I31" i="84"/>
  <c r="I30" i="84"/>
  <c r="I29" i="84"/>
  <c r="I28" i="84"/>
  <c r="I27" i="84"/>
  <c r="I26" i="84"/>
  <c r="I25" i="84"/>
  <c r="I24" i="84"/>
  <c r="I23" i="84"/>
  <c r="I22" i="84"/>
  <c r="I21" i="84"/>
  <c r="I20" i="84"/>
  <c r="I19" i="84"/>
  <c r="I18" i="84"/>
  <c r="I17" i="84"/>
  <c r="I16" i="84"/>
  <c r="I15" i="84"/>
  <c r="I14" i="84"/>
  <c r="I13" i="84"/>
  <c r="I12" i="84"/>
  <c r="I11" i="84"/>
  <c r="I10" i="84"/>
  <c r="I9" i="84"/>
  <c r="I8" i="84"/>
  <c r="I7" i="84"/>
  <c r="I6" i="84"/>
  <c r="I5" i="84"/>
  <c r="I4" i="84"/>
  <c r="I3" i="84"/>
  <c r="H32" i="84"/>
  <c r="H31" i="84"/>
  <c r="H30" i="84"/>
  <c r="H29" i="84"/>
  <c r="H28" i="84"/>
  <c r="H27" i="84"/>
  <c r="H26" i="84"/>
  <c r="H25" i="84"/>
  <c r="H24" i="84"/>
  <c r="H23" i="84"/>
  <c r="H22" i="84"/>
  <c r="H21" i="84"/>
  <c r="H20" i="84"/>
  <c r="H19" i="84"/>
  <c r="H18" i="84"/>
  <c r="H17" i="84"/>
  <c r="H16" i="84"/>
  <c r="H15" i="84"/>
  <c r="H14" i="84"/>
  <c r="H13" i="84"/>
  <c r="H12" i="84"/>
  <c r="H11" i="84"/>
  <c r="H10" i="84"/>
  <c r="H9" i="84"/>
  <c r="H8" i="84"/>
  <c r="H7" i="84"/>
  <c r="H6" i="84"/>
  <c r="H5" i="84"/>
  <c r="H4" i="84"/>
  <c r="H3" i="84"/>
  <c r="I25" i="83"/>
  <c r="I24" i="83"/>
  <c r="I23" i="83"/>
  <c r="I22" i="83"/>
  <c r="I21" i="83"/>
  <c r="I20" i="83"/>
  <c r="I19" i="83"/>
  <c r="I18" i="83"/>
  <c r="I17" i="83"/>
  <c r="I16" i="83"/>
  <c r="I15" i="83"/>
  <c r="I14" i="83"/>
  <c r="I13" i="83"/>
  <c r="I12" i="83"/>
  <c r="I11" i="83"/>
  <c r="I10" i="83"/>
  <c r="I9" i="83"/>
  <c r="I8" i="83"/>
  <c r="I7" i="83"/>
  <c r="I6" i="83"/>
  <c r="I5" i="83"/>
  <c r="G5" i="83"/>
  <c r="I4" i="83"/>
  <c r="I3" i="83"/>
  <c r="H24" i="83"/>
  <c r="H21" i="83"/>
  <c r="H20" i="83"/>
  <c r="H16" i="83"/>
  <c r="H14" i="83"/>
  <c r="H13" i="83"/>
  <c r="H9" i="83"/>
  <c r="H8" i="83"/>
  <c r="G3" i="83"/>
  <c r="H3" i="83" s="1"/>
  <c r="E24" i="83"/>
  <c r="E23" i="83"/>
  <c r="H23" i="83" s="1"/>
  <c r="E22" i="83"/>
  <c r="H22" i="83" s="1"/>
  <c r="E21" i="83"/>
  <c r="E20" i="83"/>
  <c r="E19" i="83"/>
  <c r="H19" i="83" s="1"/>
  <c r="E18" i="83"/>
  <c r="H18" i="83" s="1"/>
  <c r="E17" i="83"/>
  <c r="H17" i="83" s="1"/>
  <c r="E16" i="83"/>
  <c r="E15" i="83"/>
  <c r="E14" i="83"/>
  <c r="E13" i="83"/>
  <c r="E12" i="83"/>
  <c r="E11" i="83"/>
  <c r="E10" i="83"/>
  <c r="H10" i="83" s="1"/>
  <c r="E9" i="83"/>
  <c r="E8" i="83"/>
  <c r="E7" i="83"/>
  <c r="E6" i="83"/>
  <c r="H6" i="83" s="1"/>
  <c r="E5" i="83"/>
  <c r="E4" i="83"/>
  <c r="H4" i="83" s="1"/>
  <c r="E3" i="83"/>
  <c r="E62" i="63"/>
  <c r="E49" i="63"/>
  <c r="E47" i="63"/>
  <c r="E41" i="63"/>
  <c r="E30" i="63"/>
  <c r="E25" i="63"/>
  <c r="E20" i="63"/>
  <c r="E18" i="63"/>
  <c r="E49" i="70"/>
  <c r="E47" i="70"/>
  <c r="E45" i="70"/>
  <c r="E20" i="70"/>
  <c r="E18" i="70"/>
  <c r="E62" i="11"/>
  <c r="E47" i="11"/>
  <c r="E41" i="11"/>
  <c r="E30" i="11"/>
  <c r="H5" i="83" l="1"/>
  <c r="H33" i="84"/>
  <c r="C49" i="57" l="1"/>
  <c r="C48" i="57"/>
  <c r="C43" i="57"/>
  <c r="C42" i="57"/>
  <c r="C37" i="57"/>
  <c r="C36" i="57"/>
  <c r="C31" i="57"/>
  <c r="C30" i="57"/>
  <c r="I19" i="57"/>
  <c r="I18" i="57"/>
  <c r="C25" i="57"/>
  <c r="C24" i="57"/>
  <c r="C19" i="57"/>
  <c r="C18" i="57"/>
  <c r="I13" i="57"/>
  <c r="I12" i="57"/>
  <c r="I7" i="57"/>
  <c r="I6" i="57"/>
  <c r="C13" i="57"/>
  <c r="C12" i="57"/>
  <c r="C7" i="57"/>
  <c r="C6" i="57"/>
  <c r="C13" i="66" l="1"/>
  <c r="C6" i="66" l="1"/>
  <c r="C7" i="66"/>
  <c r="C9" i="66"/>
  <c r="C8" i="66"/>
  <c r="C11" i="66"/>
  <c r="C12" i="66"/>
  <c r="C16" i="66"/>
  <c r="C17" i="66"/>
  <c r="C18" i="66"/>
  <c r="C21" i="66"/>
  <c r="C22" i="66"/>
  <c r="C23" i="66"/>
  <c r="C24" i="66"/>
  <c r="F49" i="57" l="1"/>
  <c r="F48" i="57"/>
  <c r="F43" i="57"/>
  <c r="F42" i="57"/>
  <c r="E49" i="57"/>
  <c r="E48" i="57"/>
  <c r="E43" i="57"/>
  <c r="E42" i="57"/>
  <c r="G15" i="83" l="1"/>
  <c r="G7" i="83"/>
  <c r="G6" i="82"/>
  <c r="H7" i="83" l="1"/>
  <c r="H15" i="83"/>
  <c r="G11" i="83" l="1"/>
  <c r="H11" i="83" l="1"/>
  <c r="G12" i="83"/>
  <c r="H25" i="83" l="1"/>
  <c r="H12" i="83"/>
  <c r="E88" i="63" l="1"/>
  <c r="E88" i="11"/>
  <c r="E88" i="70" l="1"/>
  <c r="E30" i="57"/>
  <c r="F30" i="57" l="1"/>
  <c r="D102" i="63" l="1"/>
  <c r="D75" i="63"/>
  <c r="D71" i="63"/>
  <c r="D78" i="63" s="1"/>
  <c r="D80" i="63" s="1"/>
  <c r="D62" i="63"/>
  <c r="D41" i="63"/>
  <c r="D102" i="70"/>
  <c r="D71" i="70"/>
  <c r="D78" i="70" s="1"/>
  <c r="D80" i="70" s="1"/>
  <c r="D62" i="70"/>
  <c r="D41" i="70"/>
  <c r="D102" i="11"/>
  <c r="D71" i="11"/>
  <c r="D78" i="11" s="1"/>
  <c r="D80" i="11" s="1"/>
  <c r="D62" i="11"/>
  <c r="D41" i="11"/>
  <c r="E53" i="63" l="1"/>
  <c r="E54" i="63" s="1"/>
  <c r="C57" i="63"/>
  <c r="E57" i="63" s="1"/>
  <c r="E25" i="70"/>
  <c r="E53" i="70"/>
  <c r="E37" i="57"/>
  <c r="E36" i="57"/>
  <c r="E31" i="57"/>
  <c r="E105" i="70" l="1"/>
  <c r="E105" i="63"/>
  <c r="C57" i="70"/>
  <c r="D94" i="70"/>
  <c r="E79" i="70"/>
  <c r="D75" i="70"/>
  <c r="D28" i="70"/>
  <c r="D30" i="70" s="1"/>
  <c r="C61" i="70" l="1"/>
  <c r="E61" i="70" s="1"/>
  <c r="C60" i="70"/>
  <c r="E60" i="70" s="1"/>
  <c r="C59" i="70"/>
  <c r="E59" i="70" s="1"/>
  <c r="C58" i="70"/>
  <c r="E58" i="70" s="1"/>
  <c r="E57" i="70"/>
  <c r="C29" i="70"/>
  <c r="E29" i="70" s="1"/>
  <c r="C28" i="70"/>
  <c r="E28" i="70" s="1"/>
  <c r="E30" i="70" s="1"/>
  <c r="E62" i="70" l="1"/>
  <c r="C40" i="70"/>
  <c r="E40" i="70" s="1"/>
  <c r="E107" i="70"/>
  <c r="C34" i="70" l="1"/>
  <c r="E34" i="70" s="1"/>
  <c r="C35" i="70"/>
  <c r="E35" i="70" s="1"/>
  <c r="C36" i="70"/>
  <c r="E36" i="70" s="1"/>
  <c r="C33" i="70"/>
  <c r="E33" i="70" s="1"/>
  <c r="C37" i="70"/>
  <c r="E37" i="70" s="1"/>
  <c r="E51" i="70"/>
  <c r="C38" i="70"/>
  <c r="E38" i="70" s="1"/>
  <c r="C39" i="70"/>
  <c r="E39" i="70" s="1"/>
  <c r="E41" i="70" l="1"/>
  <c r="E52" i="70"/>
  <c r="F37" i="57"/>
  <c r="F36" i="57"/>
  <c r="F31" i="57"/>
  <c r="D75" i="11"/>
  <c r="C28" i="63"/>
  <c r="E54" i="70" l="1"/>
  <c r="C65" i="70" s="1"/>
  <c r="E65" i="70" s="1"/>
  <c r="E106" i="70"/>
  <c r="E74" i="70"/>
  <c r="E75" i="70" s="1"/>
  <c r="E109" i="63"/>
  <c r="E109" i="70"/>
  <c r="C70" i="70"/>
  <c r="E70" i="70" s="1"/>
  <c r="C69" i="70"/>
  <c r="E69" i="70" s="1"/>
  <c r="C68" i="70"/>
  <c r="E68" i="70" s="1"/>
  <c r="C67" i="70"/>
  <c r="E67" i="70" s="1"/>
  <c r="C66" i="70"/>
  <c r="E66" i="70" s="1"/>
  <c r="E71" i="70" l="1"/>
  <c r="E78" i="70" s="1"/>
  <c r="E80" i="70" s="1"/>
  <c r="E109" i="11"/>
  <c r="E81" i="70" l="1"/>
  <c r="E108" i="70" s="1"/>
  <c r="E110" i="70" s="1"/>
  <c r="D94" i="63"/>
  <c r="E79" i="63"/>
  <c r="D28" i="63"/>
  <c r="E89" i="70" l="1"/>
  <c r="C92" i="70" s="1"/>
  <c r="E92" i="70" s="1"/>
  <c r="D30" i="63"/>
  <c r="E28" i="63"/>
  <c r="C61" i="63"/>
  <c r="E61" i="63" s="1"/>
  <c r="C60" i="63"/>
  <c r="E60" i="63" s="1"/>
  <c r="C59" i="63"/>
  <c r="E59" i="63" s="1"/>
  <c r="C58" i="63"/>
  <c r="E58" i="63" s="1"/>
  <c r="C29" i="63"/>
  <c r="E107" i="63" l="1"/>
  <c r="E29" i="63"/>
  <c r="C93" i="70"/>
  <c r="E93" i="70" s="1"/>
  <c r="E51" i="63" l="1"/>
  <c r="C34" i="63"/>
  <c r="E34" i="63" s="1"/>
  <c r="C38" i="63"/>
  <c r="E38" i="63" s="1"/>
  <c r="C35" i="63"/>
  <c r="E35" i="63" s="1"/>
  <c r="C36" i="63"/>
  <c r="E36" i="63" s="1"/>
  <c r="C37" i="63"/>
  <c r="E37" i="63" s="1"/>
  <c r="C39" i="63"/>
  <c r="E39" i="63" s="1"/>
  <c r="C40" i="63"/>
  <c r="E40" i="63" s="1"/>
  <c r="C33" i="63"/>
  <c r="E33" i="63" s="1"/>
  <c r="E94" i="70"/>
  <c r="E95" i="70" s="1"/>
  <c r="E52" i="63" l="1"/>
  <c r="C65" i="63" s="1"/>
  <c r="E65" i="63" s="1"/>
  <c r="C101" i="70"/>
  <c r="E101" i="70" s="1"/>
  <c r="C98" i="70"/>
  <c r="E98" i="70" s="1"/>
  <c r="C97" i="70"/>
  <c r="E97" i="70" s="1"/>
  <c r="E18" i="11"/>
  <c r="E79" i="11"/>
  <c r="E102" i="70" l="1"/>
  <c r="E103" i="70" s="1"/>
  <c r="E111" i="70" s="1"/>
  <c r="E112" i="70" s="1"/>
  <c r="C66" i="63"/>
  <c r="E66" i="63" s="1"/>
  <c r="E106" i="63"/>
  <c r="E74" i="63"/>
  <c r="E75" i="63" s="1"/>
  <c r="E25" i="11"/>
  <c r="G28" i="66" l="1"/>
  <c r="H28" i="66" s="1"/>
  <c r="I28" i="66" s="1"/>
  <c r="G11" i="66"/>
  <c r="H11" i="66" s="1"/>
  <c r="I11" i="66" s="1"/>
  <c r="G32" i="66"/>
  <c r="H32" i="66" s="1"/>
  <c r="I32" i="66" s="1"/>
  <c r="G30" i="66"/>
  <c r="H30" i="66" s="1"/>
  <c r="I30" i="66" s="1"/>
  <c r="E105" i="11"/>
  <c r="C57" i="11"/>
  <c r="E57" i="11" s="1"/>
  <c r="C29" i="11"/>
  <c r="E29" i="11" s="1"/>
  <c r="C28" i="11"/>
  <c r="E49" i="11"/>
  <c r="E53" i="11" s="1"/>
  <c r="C70" i="63"/>
  <c r="E70" i="63" s="1"/>
  <c r="C69" i="63"/>
  <c r="E69" i="63" s="1"/>
  <c r="C68" i="63"/>
  <c r="E68" i="63" s="1"/>
  <c r="C67" i="63"/>
  <c r="E67" i="63" s="1"/>
  <c r="E71" i="63" l="1"/>
  <c r="E81" i="63" s="1"/>
  <c r="E108" i="63" s="1"/>
  <c r="E110" i="63" s="1"/>
  <c r="E89" i="63" l="1"/>
  <c r="C92" i="63" s="1"/>
  <c r="E92" i="63" s="1"/>
  <c r="E78" i="63"/>
  <c r="E80" i="63" s="1"/>
  <c r="C93" i="63" l="1"/>
  <c r="E93" i="63" s="1"/>
  <c r="E94" i="63" l="1"/>
  <c r="E95" i="63" l="1"/>
  <c r="C97" i="63" s="1"/>
  <c r="E97" i="63" s="1"/>
  <c r="C60" i="11"/>
  <c r="E60" i="11" s="1"/>
  <c r="C58" i="11"/>
  <c r="E58" i="11" s="1"/>
  <c r="C61" i="11"/>
  <c r="E61" i="11" s="1"/>
  <c r="C59" i="11"/>
  <c r="E59" i="11" s="1"/>
  <c r="C101" i="63" l="1"/>
  <c r="E101" i="63" s="1"/>
  <c r="C98" i="63"/>
  <c r="E98" i="63" s="1"/>
  <c r="E102" i="63" s="1"/>
  <c r="E103" i="63" s="1"/>
  <c r="E111" i="63" s="1"/>
  <c r="E112" i="63" s="1"/>
  <c r="E107" i="11"/>
  <c r="J7" i="57" l="1"/>
  <c r="K7" i="57" s="1"/>
  <c r="J13" i="57"/>
  <c r="D13" i="57"/>
  <c r="E13" i="57" s="1"/>
  <c r="D7" i="57"/>
  <c r="E7" i="57" s="1"/>
  <c r="G49" i="57"/>
  <c r="H49" i="57" s="1"/>
  <c r="G43" i="57"/>
  <c r="H43" i="57" s="1"/>
  <c r="K13" i="57"/>
  <c r="J19" i="57"/>
  <c r="K19" i="57" s="1"/>
  <c r="D19" i="57"/>
  <c r="E19" i="57" s="1"/>
  <c r="D25" i="57"/>
  <c r="E25" i="57" s="1"/>
  <c r="G37" i="57"/>
  <c r="H37" i="57" s="1"/>
  <c r="G31" i="57"/>
  <c r="H31" i="57" s="1"/>
  <c r="D94" i="11"/>
  <c r="D28" i="11"/>
  <c r="D30" i="11" l="1"/>
  <c r="E28" i="11"/>
  <c r="C35" i="11" s="1"/>
  <c r="E35" i="11" s="1"/>
  <c r="C37" i="11"/>
  <c r="E37" i="11" s="1"/>
  <c r="C40" i="11"/>
  <c r="E40" i="11" s="1"/>
  <c r="C39" i="11"/>
  <c r="E39" i="11" s="1"/>
  <c r="C38" i="11"/>
  <c r="E38" i="11" s="1"/>
  <c r="D13" i="2"/>
  <c r="D12" i="2"/>
  <c r="D11" i="2"/>
  <c r="D10" i="2"/>
  <c r="D9" i="2"/>
  <c r="D8" i="2"/>
  <c r="C36" i="11" l="1"/>
  <c r="E36" i="11" s="1"/>
  <c r="E51" i="11"/>
  <c r="C34" i="11"/>
  <c r="E34" i="11" s="1"/>
  <c r="C33" i="11"/>
  <c r="E33" i="11" s="1"/>
  <c r="E52" i="11" s="1"/>
  <c r="E54" i="11" s="1"/>
  <c r="C65" i="11" s="1"/>
  <c r="E65" i="11" l="1"/>
  <c r="C67" i="11"/>
  <c r="E67" i="11" s="1"/>
  <c r="E74" i="11"/>
  <c r="E75" i="11" s="1"/>
  <c r="C69" i="11"/>
  <c r="E69" i="11" s="1"/>
  <c r="C66" i="11"/>
  <c r="E66" i="11" s="1"/>
  <c r="C68" i="11"/>
  <c r="E68" i="11" s="1"/>
  <c r="C70" i="11"/>
  <c r="E70" i="11" s="1"/>
  <c r="E106" i="11"/>
  <c r="E71" i="11" l="1"/>
  <c r="E78" i="11" s="1"/>
  <c r="E80" i="11" s="1"/>
  <c r="E81" i="11" l="1"/>
  <c r="E108" i="11" s="1"/>
  <c r="E110" i="11" s="1"/>
  <c r="E89" i="11" l="1"/>
  <c r="C92" i="11" s="1"/>
  <c r="E92" i="11" s="1"/>
  <c r="C93" i="11" l="1"/>
  <c r="E93" i="11" s="1"/>
  <c r="E94" i="11" l="1"/>
  <c r="E95" i="11" s="1"/>
  <c r="C101" i="11" l="1"/>
  <c r="E101" i="11" s="1"/>
  <c r="C98" i="11"/>
  <c r="E98" i="11" s="1"/>
  <c r="C97" i="11"/>
  <c r="E97" i="11" s="1"/>
  <c r="E102" i="11" l="1"/>
  <c r="E103" i="11" s="1"/>
  <c r="E111" i="11" s="1"/>
  <c r="E112" i="11" s="1"/>
  <c r="G31" i="66" l="1"/>
  <c r="H31" i="66" s="1"/>
  <c r="I31" i="66" s="1"/>
  <c r="J6" i="57"/>
  <c r="K6" i="57" s="1"/>
  <c r="K8" i="57" s="1"/>
  <c r="G8" i="66" s="1"/>
  <c r="H8" i="66" s="1"/>
  <c r="I8" i="66" s="1"/>
  <c r="D6" i="57"/>
  <c r="G29" i="66"/>
  <c r="H29" i="66" s="1"/>
  <c r="I29" i="66" s="1"/>
  <c r="J12" i="57"/>
  <c r="K12" i="57" s="1"/>
  <c r="K14" i="57" s="1"/>
  <c r="G9" i="66" s="1"/>
  <c r="H9" i="66" s="1"/>
  <c r="I9" i="66" s="1"/>
  <c r="G27" i="66"/>
  <c r="H27" i="66" s="1"/>
  <c r="I27" i="66" s="1"/>
  <c r="D12" i="57"/>
  <c r="E12" i="57" s="1"/>
  <c r="E14" i="57" s="1"/>
  <c r="G7" i="66" s="1"/>
  <c r="H7" i="66" s="1"/>
  <c r="I7" i="66" s="1"/>
  <c r="G30" i="57"/>
  <c r="H30" i="57" s="1"/>
  <c r="H32" i="57" s="1"/>
  <c r="G21" i="66" s="1"/>
  <c r="H21" i="66" s="1"/>
  <c r="I21" i="66" s="1"/>
  <c r="G42" i="57"/>
  <c r="H42" i="57" s="1"/>
  <c r="H44" i="57" s="1"/>
  <c r="G23" i="66" s="1"/>
  <c r="H23" i="66" s="1"/>
  <c r="I23" i="66" s="1"/>
  <c r="G36" i="57"/>
  <c r="H36" i="57" s="1"/>
  <c r="H38" i="57" s="1"/>
  <c r="G22" i="66" s="1"/>
  <c r="H22" i="66" s="1"/>
  <c r="I22" i="66" s="1"/>
  <c r="G48" i="57"/>
  <c r="H48" i="57" s="1"/>
  <c r="H50" i="57" s="1"/>
  <c r="G24" i="66" s="1"/>
  <c r="H24" i="66" s="1"/>
  <c r="I24" i="66" s="1"/>
  <c r="E6" i="57"/>
  <c r="E8" i="57" s="1"/>
  <c r="G6" i="66" s="1"/>
  <c r="H6" i="66" s="1"/>
  <c r="J18" i="57"/>
  <c r="K18" i="57" s="1"/>
  <c r="K20" i="57" s="1"/>
  <c r="G18" i="66" s="1"/>
  <c r="H18" i="66" s="1"/>
  <c r="I18" i="66" s="1"/>
  <c r="D24" i="57"/>
  <c r="E24" i="57" s="1"/>
  <c r="E26" i="57" s="1"/>
  <c r="G17" i="66" s="1"/>
  <c r="H17" i="66" s="1"/>
  <c r="I17" i="66" s="1"/>
  <c r="D18" i="57"/>
  <c r="E18" i="57" s="1"/>
  <c r="E20" i="57" s="1"/>
  <c r="G16" i="66" s="1"/>
  <c r="H16" i="66" s="1"/>
  <c r="I16" i="66" s="1"/>
  <c r="I6" i="66" l="1"/>
  <c r="I33" i="66" s="1"/>
  <c r="H33" i="66"/>
</calcChain>
</file>

<file path=xl/sharedStrings.xml><?xml version="1.0" encoding="utf-8"?>
<sst xmlns="http://schemas.openxmlformats.org/spreadsheetml/2006/main" count="1182" uniqueCount="405">
  <si>
    <t>A</t>
  </si>
  <si>
    <t>Data de apresentação da proposta (mês/ano)</t>
  </si>
  <si>
    <t>B</t>
  </si>
  <si>
    <t>C</t>
  </si>
  <si>
    <t>Ano Acordo, Convenção ou Sentença Normativa em Dissídio Coletivo</t>
  </si>
  <si>
    <t>D</t>
  </si>
  <si>
    <t>Identificação do Serviço</t>
  </si>
  <si>
    <t>Anexo III-A – Mão-de-obra</t>
  </si>
  <si>
    <t>Mão-de-obra vinculada à execução contratual</t>
  </si>
  <si>
    <t>Dados complementares para composição dos custos referente à mão-de-obra</t>
  </si>
  <si>
    <t>Valor (R$)</t>
  </si>
  <si>
    <t>Salário Normativo da Categoria Profissional</t>
  </si>
  <si>
    <t>Categoria profissional (vinculada à execução contratual)</t>
  </si>
  <si>
    <t>Data base da categoria (dia/mês/ano)</t>
  </si>
  <si>
    <t>MÓDULO 1 : COMPOSIÇÃO DA REMUNERAÇÃO</t>
  </si>
  <si>
    <t>Composição da Remuneração</t>
  </si>
  <si>
    <t>Salário</t>
  </si>
  <si>
    <t>Adicional de Periculosidade</t>
  </si>
  <si>
    <t>30% sobre o salário</t>
  </si>
  <si>
    <t>Adicional de Insalubridade</t>
  </si>
  <si>
    <t>Adicional Noturno</t>
  </si>
  <si>
    <t>20% sobre  a hora diurna</t>
  </si>
  <si>
    <t>E</t>
  </si>
  <si>
    <t>H. Extra (+50%) ou H. Normal + 20% de adiconal</t>
  </si>
  <si>
    <t>F</t>
  </si>
  <si>
    <t>G</t>
  </si>
  <si>
    <t>TOTAL DE BENEFÍCIOS MENSAIS E DIÁRIOS</t>
  </si>
  <si>
    <t>Insumos Diversos</t>
  </si>
  <si>
    <t>4.1</t>
  </si>
  <si>
    <t>Encargos previdenciários e FGTS</t>
  </si>
  <si>
    <t>H</t>
  </si>
  <si>
    <t>TOTAL</t>
  </si>
  <si>
    <t>4.2</t>
  </si>
  <si>
    <t>13 º Salário</t>
  </si>
  <si>
    <t>Provisão para Rescisão</t>
  </si>
  <si>
    <t>Aviso prévio indenizado</t>
  </si>
  <si>
    <r>
      <t>Incidência do FGTS sobre aviso prévio indenizado (8%)</t>
    </r>
    <r>
      <rPr>
        <i/>
        <sz val="10"/>
        <color rgb="FF002060"/>
        <rFont val="Calibri"/>
        <family val="2"/>
        <scheme val="minor"/>
      </rPr>
      <t/>
    </r>
  </si>
  <si>
    <t>Aviso prévio trabalhado</t>
  </si>
  <si>
    <t>Custos Indiretos, Tributos e Lucro</t>
  </si>
  <si>
    <t>Custos Indiretos</t>
  </si>
  <si>
    <t>Lucro (MT + M5.A)</t>
  </si>
  <si>
    <t>Tributos</t>
  </si>
  <si>
    <t>C1. Tributos Federais</t>
  </si>
  <si>
    <t>C.2 Tributos Estaduais (especificar)</t>
  </si>
  <si>
    <t xml:space="preserve">C.3 Tributos Municipais </t>
  </si>
  <si>
    <t>TOTAL DOS TRIBUTOS</t>
  </si>
  <si>
    <t>TOTAL DOS CUSTOS INDIRETOS, TRIBUTOS E LUCRO</t>
  </si>
  <si>
    <t>Mão-de-obra vinculada à execução contratual (valor por empregado)</t>
  </si>
  <si>
    <t>Módulo 1 – Composição da Remuneração</t>
  </si>
  <si>
    <t>VALOR TOTAL POR EMPREGADO</t>
  </si>
  <si>
    <t xml:space="preserve"> MÓDULO 2: BENEFÍCIOS MENSAIS E DIÁRIOS</t>
  </si>
  <si>
    <t>]</t>
  </si>
  <si>
    <t>27/08/2012 - APLICABILIDADE DA LEI Nº 12.506, DE 11 DE OUTUBRO DE 2011</t>
  </si>
  <si>
    <t>AVISO PRÉVIO TRABALHADO</t>
  </si>
  <si>
    <t>COMUNICA</t>
  </si>
  <si>
    <t>Com a publicação da LEI 12.506/2011, ainda que esta não se manifeste sobre a redução da jornada e da proporcionalidade nos dias de falta ao trabalho no caso de aviso prévio trabalhado, poder-se-ia entender que o empregado teria direito à redução de 2 horas diárias, bem como poderia faltar ao trabalho o número de dias proporcionais ao tempo trabalhado.</t>
  </si>
  <si>
    <r>
      <t>ASSIM SENDO, COM A NOVA PREVISÃO LEGAL</t>
    </r>
    <r>
      <rPr>
        <b/>
        <sz val="8"/>
        <color rgb="FFFF0000"/>
        <rFont val="Verdana"/>
        <family val="2"/>
      </rPr>
      <t>, HAVERÁ NECESSIDADE DE MODIFICAÇÃO NA METODOLOGIA ATÉ ENTÃO ADOTADA PARA PRORROGAÇÃO DOS CONTRATOS DE PRESTAÇÃO DE SERVIÇOS COM ALOCAÇÃO DE MÃO DE OBRA. NESSE CASO, O VALOR PREVISTO A TÍTULO DE AVISO PRÉVIO DEVERÁ CONSIDERAR 3 (TRÊS) DIAS PARA CADA ANO DE PRORROGAÇÃO, ATÉ O LIMITE DE 12 (DOZE) DIAS, PERFAZENDO UM TOTAL DE 42 (QUARENTA E DOIS) DIAS</t>
    </r>
    <r>
      <rPr>
        <sz val="8"/>
        <color rgb="FF000000"/>
        <rFont val="Verdana"/>
        <family val="2"/>
      </rPr>
      <t>, VISTO QUE O INCISO II DO ART. 57 DA LEI N° 8.666, DE 21 DE JUNHO DE 1993, PERMITE QUE OS CONTRATOS DE PRESTAÇÃO DE SERVIÇOS CONTINUADOS SEJAM PRORROGADOS ATÉ UM LIMITE DE SESSENTA MESES, CASO OS PREÇOS E CONDIÇÕES SEJAM MAIS VANTAJOSOS PARA A ADMINISTRAÇÃO. DESSA FORMA, A METODOLOGIA REFLETIRÁ O PRAZO DE AVISO PRÉVIO QUE O EMPREGADO ACUMULA NO PRIMEIRO ANO E NOS SEGUINTES DO CONTRATO.</t>
    </r>
  </si>
  <si>
    <t>Aviso Prévio Trabalhado - Demissão Sem Justa Causa</t>
  </si>
  <si>
    <t>BRASÍLIA-DF, 15 DE AGOSTO DE 2012</t>
  </si>
  <si>
    <t>Tempo Trabalhado</t>
  </si>
  <si>
    <t>Dias de Aviso</t>
  </si>
  <si>
    <t>Faltas ao Trabalho</t>
  </si>
  <si>
    <t>SECRETARIA DE LOGÍSTICA E TECNOLOGIA DA INFORMAÇÃO – SLTI</t>
  </si>
  <si>
    <t>no final do aviso</t>
  </si>
  <si>
    <t>DEPARTAMENTO DE LOGÍSTICA E SERVIÇOS GERAIS – DLSG</t>
  </si>
  <si>
    <t>Até 1 ano</t>
  </si>
  <si>
    <t>COORDENAÇÃO-GERAL DE NORMAS – CGN</t>
  </si>
  <si>
    <t>Até 2 anos</t>
  </si>
  <si>
    <t>Até 3 anos</t>
  </si>
  <si>
    <t>Até 4 anos</t>
  </si>
  <si>
    <t>Até 5 anos</t>
  </si>
  <si>
    <t>Até 6 anos</t>
  </si>
  <si>
    <t>Até 7 anos</t>
  </si>
  <si>
    <t>Até 8 anos</t>
  </si>
  <si>
    <t>Até 9 anos</t>
  </si>
  <si>
    <t>Até 10 anos</t>
  </si>
  <si>
    <t>Até 11 anos</t>
  </si>
  <si>
    <t>Até 12 anos</t>
  </si>
  <si>
    <t>Até 13 anos</t>
  </si>
  <si>
    <t>Até 14 anos</t>
  </si>
  <si>
    <t>Até 15 anos</t>
  </si>
  <si>
    <t>Até 16 anos</t>
  </si>
  <si>
    <t>Até 17 anos</t>
  </si>
  <si>
    <t>Até 18 anos</t>
  </si>
  <si>
    <t>Até 19 anos</t>
  </si>
  <si>
    <t>Até 20 anos</t>
  </si>
  <si>
    <t>A partir de 20 anos</t>
  </si>
  <si>
    <t>VOLTAR PLANILHA PRINCIPAL</t>
  </si>
  <si>
    <r>
      <t>Nota:</t>
    </r>
    <r>
      <rPr>
        <sz val="14"/>
        <color rgb="FF000000"/>
        <rFont val="Calibri"/>
        <family val="2"/>
        <scheme val="minor"/>
      </rPr>
      <t> Entretanto, a lei não especifica que deva aplicar esta proporcionalidade de acordo com o tempo de empresa, porquanto </t>
    </r>
    <r>
      <rPr>
        <b/>
        <u/>
        <sz val="14"/>
        <color rgb="FF000000"/>
        <rFont val="Calibri"/>
        <family val="2"/>
        <scheme val="minor"/>
      </rPr>
      <t>entendemos que a falta ao final do aviso ainda seja de 7 (sete) dias</t>
    </r>
    <r>
      <rPr>
        <sz val="14"/>
        <color rgb="FF000000"/>
        <rFont val="Calibri"/>
        <family val="2"/>
        <scheme val="minor"/>
      </rPr>
      <t>. Já em relação a redução de jornada, </t>
    </r>
    <r>
      <rPr>
        <b/>
        <u/>
        <sz val="14"/>
        <color rgb="FF000000"/>
        <rFont val="Calibri"/>
        <family val="2"/>
        <scheme val="minor"/>
      </rPr>
      <t>entendemos que deva ser de 2 horas independentemente do número de dias</t>
    </r>
    <r>
      <rPr>
        <sz val="14"/>
        <color rgb="FF000000"/>
        <rFont val="Calibri"/>
        <family val="2"/>
        <scheme val="minor"/>
      </rPr>
      <t> de aviso trabalhado.</t>
    </r>
  </si>
  <si>
    <t>Exemplo</t>
  </si>
  <si>
    <t>Empregado (com um ano de emprego) recebeu a comunicação de desligamento em 01.07.2011, optou pela falta ao serviço durante os últimos 7 (sete) dias corridos. Neste caso, considerando o início da contagem dos 30 dias em 02.07.2011 (dia seguinte ao da comunicação), o término do aviso e consequentemente a baixa na CTPS foi em 31.07.2011, embora o mesmo só trabalhe até 24.07.2011.</t>
  </si>
  <si>
    <t>Neste caso, a data de pagamento das verbas rescisórias será o dia seguinte ao término do aviso, ou seja, 01.08.2011.</t>
  </si>
  <si>
    <t>FONTE: www.guiatrabalhista.com.br</t>
  </si>
  <si>
    <t>PRORROGAÇÃO EXECEPCIONAL (§ 4º DO ART. 57 DA LLC)</t>
  </si>
  <si>
    <t>FALTAS LEGAIS</t>
  </si>
  <si>
    <t>Limite de Faltas</t>
  </si>
  <si>
    <t>Motivo</t>
  </si>
  <si>
    <t>Colunas1</t>
  </si>
  <si>
    <t>Colunas2</t>
  </si>
  <si>
    <t>até 2 dias consecutivos</t>
  </si>
  <si>
    <t>Falecimento de cônjuge, ascendente, descendente, irmão ou pessoa que, declarada em sua CTPS, viva sob sua dependência econômica.</t>
  </si>
  <si>
    <t>até 3 dias consecutivos</t>
  </si>
  <si>
    <t>Casamento</t>
  </si>
  <si>
    <t>5 dias, no decorrer da primeira semana</t>
  </si>
  <si>
    <t>Nascimento de Filho (Este inciso fica tacitamente revogado em virtude do inciso XIX do art. 7º da CF/88 que instituiu a Licença-Paternidade e pelo § 1º do Art. 10 da ADCT/88 que fixou o prazo para 5 (cinco) dias.)</t>
  </si>
  <si>
    <t>1 dia em cada 12 meses de trabalho</t>
  </si>
  <si>
    <t>Doação voluntária de sangue devidamente comprovada</t>
  </si>
  <si>
    <t>até 2 dias consecutivos ou não</t>
  </si>
  <si>
    <t>Alistamento eleitoral</t>
  </si>
  <si>
    <t>até 9 dias</t>
  </si>
  <si>
    <t>gala ou luto, em conseqüência de falecimento do cônjuge, do pai ou mãe, ou de filho de professor</t>
  </si>
  <si>
    <t>---</t>
  </si>
  <si>
    <t>Dias em que estiver comprovadamente realizando provas do exame vestibular em estabelecimento de ensino superior</t>
  </si>
  <si>
    <t>No período de tempo em que tiver de cumprir as exigências do Serviço Militar (art. 65 letra "c" da Lei nº 4375/64)</t>
  </si>
  <si>
    <t>Apresentar-se, anualmente, no local e data que forem fixados, para fins de exercício de apresentação das reservas ou cerimônia cívica do Dia do Reservista.</t>
  </si>
  <si>
    <t>Ausências decorrentes de exercícios ou manobras, pelo convocado matriculado em órgão de formação de reserva (art.60 § 4º da Lei º 4375/64)</t>
  </si>
  <si>
    <t>Ausência do empregado, justificada, a critério do empregador</t>
  </si>
  <si>
    <t>Paralisação dos serviços nos dias em que, por conveniência do empregador, não tenha havido trabalho.</t>
  </si>
  <si>
    <t>Falta ao serviço por acidente de trabalho</t>
  </si>
  <si>
    <t>2 semanas</t>
  </si>
  <si>
    <t>Aborto não criminoso, comprovado por atestado médico oficial</t>
  </si>
  <si>
    <t>até 15 dias</t>
  </si>
  <si>
    <t>Doença, devidamente comprovada por atestado médico (1)</t>
  </si>
  <si>
    <t>Comparecimento necessário, como parte, à Justiça do Trabalho</t>
  </si>
  <si>
    <t>Comparecimento para depor na Justiça, quando devidamente arrolado ou convocado como testemunha</t>
  </si>
  <si>
    <t>Comparecimento às sessões do júri, como jurado sorteado</t>
  </si>
  <si>
    <t>Ausências dos representantes dos trabalhadores no Conselho Curador do FGTS, decorrentes de atividades desse órgão</t>
  </si>
  <si>
    <t>Convocação para o serviço eleitoral</t>
  </si>
  <si>
    <t xml:space="preserve"> </t>
  </si>
  <si>
    <t>Tipo de serviço (mesmo serviço com características distintas)</t>
  </si>
  <si>
    <t xml:space="preserve">Assistência médica e familiar </t>
  </si>
  <si>
    <t xml:space="preserve">Auxílio creche </t>
  </si>
  <si>
    <t xml:space="preserve">Seguro de vida </t>
  </si>
  <si>
    <t>Outros</t>
  </si>
  <si>
    <t>INTERVALO INTRAJORNADA</t>
  </si>
  <si>
    <t>DSR INTRAJORNADA</t>
  </si>
  <si>
    <t>Área Externa</t>
  </si>
  <si>
    <t>ESPECIFICAÇÃO</t>
  </si>
  <si>
    <t>ITEM</t>
  </si>
  <si>
    <t>UND</t>
  </si>
  <si>
    <t>1.1</t>
  </si>
  <si>
    <t>m²</t>
  </si>
  <si>
    <t>2.1</t>
  </si>
  <si>
    <t>2.2</t>
  </si>
  <si>
    <t>3.1</t>
  </si>
  <si>
    <t>Áreas Internas</t>
  </si>
  <si>
    <t>1.1.1</t>
  </si>
  <si>
    <t>1.1.2</t>
  </si>
  <si>
    <t>1.1.3</t>
  </si>
  <si>
    <t>1.1.4</t>
  </si>
  <si>
    <t>1.1.5</t>
  </si>
  <si>
    <t>1.1.6</t>
  </si>
  <si>
    <t>Transporte</t>
  </si>
  <si>
    <t>13º Salário, Férias e Adicional de Férias</t>
  </si>
  <si>
    <t>GPS, FGTS e outras contribuições</t>
  </si>
  <si>
    <t>Beneficios diários e mensais</t>
  </si>
  <si>
    <t>Módulo 4 – Custo de Reposição do Profissional Ausente</t>
  </si>
  <si>
    <t>Quadro resumo dos beneficios</t>
  </si>
  <si>
    <t>TOTAL DO MÓDULO 1</t>
  </si>
  <si>
    <t>TOTAL DO MÓDULO 2</t>
  </si>
  <si>
    <t>TOTAL DO MÓDULO 3</t>
  </si>
  <si>
    <t>TOTAL DO MÓDULO 4</t>
  </si>
  <si>
    <t>TOTAL DO MÓDULO 5</t>
  </si>
  <si>
    <t>Módulo 3 – Provisão para Rescisão</t>
  </si>
  <si>
    <t>Módulo 5 – Insumos Diversos</t>
  </si>
  <si>
    <t>Módulo 2 – Encargos e Benefícios Anuais, Mensais e Diários</t>
  </si>
  <si>
    <t>Subtotal (A + B +C+ D+E)</t>
  </si>
  <si>
    <t>Módulo 6 – Custos indiretos, tributos e lucro</t>
  </si>
  <si>
    <t>MÓDULO 3 - PROVISÃO PARA RESCISÃO</t>
  </si>
  <si>
    <t>MÓDULO 4 – CUSTO DE REPOSIÇÃO DO PROFISSIONAL AUSENTE</t>
  </si>
  <si>
    <t>MÓDULO 5 - INSUMOS DIVERSOS</t>
  </si>
  <si>
    <t xml:space="preserve">MÓDULO 6 – CUSTOS INDIRETOS, TRIBUTOS E LUCRO </t>
  </si>
  <si>
    <t xml:space="preserve">ÁREAS HOSPITALARES E ASSEMELHADAS </t>
  </si>
  <si>
    <t>MÃO DE OBRA</t>
  </si>
  <si>
    <t>(2)
PREÇO DO HOMEM-MÊS
(R$)</t>
  </si>
  <si>
    <t>Servente</t>
  </si>
  <si>
    <t>1/350</t>
  </si>
  <si>
    <t>Encarregado</t>
  </si>
  <si>
    <t>TOTAL:</t>
  </si>
  <si>
    <t>1/550</t>
  </si>
  <si>
    <t>(2)
FREQÜÊNCIA NO MÊS
(HORAS***)</t>
  </si>
  <si>
    <t>(3)
JORNADA DE TRABALHO NO MÊS
(HORAS)</t>
  </si>
  <si>
    <t>(4)
(1 x 2 x 3)
(Ki ****)</t>
  </si>
  <si>
    <t>(5)
PREÇO DO HOMEM-MÊS
(R$)</t>
  </si>
  <si>
    <t>1/450</t>
  </si>
  <si>
    <t>Unidade</t>
  </si>
  <si>
    <t>Quantidade</t>
  </si>
  <si>
    <t>Periodicidade</t>
  </si>
  <si>
    <t>Valor Unitário</t>
  </si>
  <si>
    <t>Submódulo 2.3 – Beneficios Mensais</t>
  </si>
  <si>
    <t>PRODUTIVIDADE</t>
  </si>
  <si>
    <t>ÁREAS</t>
  </si>
  <si>
    <t>Anual</t>
  </si>
  <si>
    <t>Multa sobre FGTS e Contribuição Social sobre o Aviso Prévio Indenizado e sobre o Aviso Prévio Trabalhado. (Alterado Conf. Lei nº 13.932/2019)</t>
  </si>
  <si>
    <t>Substituto na Cobertura de Férias (1/12 avos)</t>
  </si>
  <si>
    <t>Substituto na Cobertura de Ausências Legais (por doença)</t>
  </si>
  <si>
    <t>Substituto na Cobertura de Licença Paternidade</t>
  </si>
  <si>
    <t>Substituto na Cobertura Por Acidente de Trabalho</t>
  </si>
  <si>
    <t>Substituto na Cobertura de Licença Maternidade</t>
  </si>
  <si>
    <t>Outros  (Especificar)</t>
  </si>
  <si>
    <t>TOTAL DO SUBMÓDULO 4.1</t>
  </si>
  <si>
    <t>Submódulo 4.2 - Intrajornada</t>
  </si>
  <si>
    <t>Intervalo para Repouso ou Alimentação</t>
  </si>
  <si>
    <t>TOTAL DO SUBMÓDULO 4.2</t>
  </si>
  <si>
    <t>BASE DE CÁLCULO</t>
  </si>
  <si>
    <t>Valor Total Anual</t>
  </si>
  <si>
    <t>Valor Total Mensal</t>
  </si>
  <si>
    <t>2.3</t>
  </si>
  <si>
    <t>Equipamentos</t>
  </si>
  <si>
    <r>
      <t>N</t>
    </r>
    <r>
      <rPr>
        <strike/>
        <sz val="11"/>
        <rFont val="Calibri"/>
        <family val="2"/>
        <scheme val="minor"/>
      </rPr>
      <t>º</t>
    </r>
    <r>
      <rPr>
        <sz val="11"/>
        <rFont val="Calibri"/>
        <family val="2"/>
        <scheme val="minor"/>
      </rPr>
      <t xml:space="preserve"> de meses de execução contratual</t>
    </r>
  </si>
  <si>
    <r>
      <t>(1)
PRODUTIVIDADE
(1/M</t>
    </r>
    <r>
      <rPr>
        <vertAlign val="superscript"/>
        <sz val="11"/>
        <rFont val="Calibri"/>
        <family val="2"/>
        <scheme val="minor"/>
      </rPr>
      <t>2</t>
    </r>
    <r>
      <rPr>
        <sz val="11"/>
        <rFont val="Calibri"/>
        <family val="2"/>
        <scheme val="minor"/>
      </rPr>
      <t>)</t>
    </r>
  </si>
  <si>
    <r>
      <t>(1x2)
SUBTOTAL
(R$/M</t>
    </r>
    <r>
      <rPr>
        <vertAlign val="superscript"/>
        <sz val="11"/>
        <rFont val="Calibri"/>
        <family val="2"/>
        <scheme val="minor"/>
      </rPr>
      <t>2</t>
    </r>
    <r>
      <rPr>
        <sz val="11"/>
        <rFont val="Calibri"/>
        <family val="2"/>
        <scheme val="minor"/>
      </rPr>
      <t>)</t>
    </r>
  </si>
  <si>
    <r>
      <t>(4x5)
SUBTOTAL
(R$/M</t>
    </r>
    <r>
      <rPr>
        <vertAlign val="superscript"/>
        <sz val="11"/>
        <rFont val="Calibri"/>
        <family val="2"/>
        <scheme val="minor"/>
      </rPr>
      <t>2</t>
    </r>
    <r>
      <rPr>
        <sz val="11"/>
        <rFont val="Calibri"/>
        <family val="2"/>
        <scheme val="minor"/>
      </rPr>
      <t>)</t>
    </r>
  </si>
  <si>
    <t>Adicional de Hora Noturna Reduzida</t>
  </si>
  <si>
    <t>DÉCIMO TERCEIRO SALÁRIO, FÉRIAS E ADICIONAL DE FÉRIAS</t>
  </si>
  <si>
    <t xml:space="preserve">FGTS (8,0%) </t>
  </si>
  <si>
    <t>SEBRAE</t>
  </si>
  <si>
    <t xml:space="preserve">Base de cálculo: De acordo com a instrução normativa nº 05/2017 anexo VII nota 3, a base de cálculo neste módulo deverá ser a soma: MÓDULO 1 + SUBMÓDULO 2.1. </t>
  </si>
  <si>
    <t xml:space="preserve">BENEFÍCIOS MENSAIS E DIÁRIOS </t>
  </si>
  <si>
    <t xml:space="preserve">Auxílio alimentação </t>
  </si>
  <si>
    <t>3.0</t>
  </si>
  <si>
    <t>Incidência do submódulo 2.2 sobre aviso prévio trabalhado (39,80% sobre o valor do Aviso Prévio Trabalhado)</t>
  </si>
  <si>
    <t>Submódulo 4.1 - Ausências Legais</t>
  </si>
  <si>
    <t xml:space="preserve"> QUADRO-RESUMO DO MÓDULO 4 - CUSTO DE REPOSIÇÃO DO PROFISSIONAL AUSENTE</t>
  </si>
  <si>
    <t>Módulo 4 – Encargos sociais e trabalhistas</t>
  </si>
  <si>
    <t>Uniformes e EPIs</t>
  </si>
  <si>
    <t>Materiais</t>
  </si>
  <si>
    <t>(M-T)      CUSTO TOTAL DA PLANILHA PARA EFEITO DE CÁLCULO DO MÓDULO 5 (M1+M2+M3+M4+M5)</t>
  </si>
  <si>
    <t>Subtotal  para   efeito  de  cálculo  dos Tributos  (MT + MA + MB) FATURAMENTO [(100-8,65)/100]</t>
  </si>
  <si>
    <t>Esquadrias Face Interna e Externa</t>
  </si>
  <si>
    <t>Áreas Hospitalares e Assemelhantes</t>
  </si>
  <si>
    <t>1.1.7</t>
  </si>
  <si>
    <t>Pisos Pavimentados Adjacentes às Edificações</t>
  </si>
  <si>
    <t>Varrição de Passeios e Arruamentos</t>
  </si>
  <si>
    <t>3</t>
  </si>
  <si>
    <t>Setor Fechado</t>
  </si>
  <si>
    <t xml:space="preserve">POSTO </t>
  </si>
  <si>
    <t>VALOR TOTAL (Anual)</t>
  </si>
  <si>
    <t>4.3</t>
  </si>
  <si>
    <t>4.4</t>
  </si>
  <si>
    <t>Serviços de Higienização e Limpeza Hospitalar, Laboratorial e Ambulatorial - Higienização, Conservação, Desinfecção de Superfícies e Mobiliários e Recolhimento do Lixo Grupo "D"</t>
  </si>
  <si>
    <t>Auxiliar de Limpeza - Diurno</t>
  </si>
  <si>
    <t xml:space="preserve">Encarregado - Diurno </t>
  </si>
  <si>
    <t>Auxiliar de Limpeza - Noturno</t>
  </si>
  <si>
    <t>Serviços de Higienização e Limpeza Hospitalar</t>
  </si>
  <si>
    <t>Vida Útil (Meses)</t>
  </si>
  <si>
    <t>Pacote</t>
  </si>
  <si>
    <t>4.5</t>
  </si>
  <si>
    <t>4.6</t>
  </si>
  <si>
    <t xml:space="preserve">QUANTIDADE </t>
  </si>
  <si>
    <t>Semestral</t>
  </si>
  <si>
    <t>Mensal</t>
  </si>
  <si>
    <t>Óculos de proteção</t>
  </si>
  <si>
    <t>TOTAL MENSAL POR SERVENTE</t>
  </si>
  <si>
    <t>-</t>
  </si>
  <si>
    <t xml:space="preserve">Áreas Operacionais Hospitalares Críticas (Diurno) </t>
  </si>
  <si>
    <t xml:space="preserve">Áreas Operacionais Hospitalares Semi Críticas (Diurno) </t>
  </si>
  <si>
    <t>Áreas de Circulação Semi Críticas (Diurno)</t>
  </si>
  <si>
    <t>Áreas Operacionais Hospitalares Não Críticas (Diurno)</t>
  </si>
  <si>
    <t xml:space="preserve">Áreas Operacionais Hospitalares Críticas (Noturno) </t>
  </si>
  <si>
    <t xml:space="preserve">Áreas Operacional Hospitalares Semi Críticas (Noturno) </t>
  </si>
  <si>
    <t>Áreas de Circulação Semi Crítica (Noturno)</t>
  </si>
  <si>
    <t xml:space="preserve">Varrição de Passeios e Arruamentos </t>
  </si>
  <si>
    <t>Pátios e Áreas Verdes com baixa Frequência</t>
  </si>
  <si>
    <t>Face interna sem exposição a situação de risco</t>
  </si>
  <si>
    <t>Setor Fechado para UTI (Bloco I) – 12 (doze) horas diurnas, de segunda-feira a domingo, envolvendo 01 (um)profissional de limpeza em turnos de 12 (doze) x 36 (trinta e seis) horas</t>
  </si>
  <si>
    <t>Setor Fechado para UTI (Bloco I) – 12 (doze) horas noturnas, de segunda-feira a domingo, envolvendo 01 (um) profissional de limpeza em turnos de 12 (doze) x 36 (trinta e seis) horas</t>
  </si>
  <si>
    <t>Setor Fechado para UTI (Bloco II) – 12 (doze) horas diurnas, de segunda-feira a domingo, envolvendo 01 (um) profissional de limpeza em turnos de 12 (doze) x 36 (trinta e seis) horas</t>
  </si>
  <si>
    <t>Setor Fechado para UTI (Bloco III) – 12 (doze) horas diurnas, de segunda-feira a domingo, envolvendo 01 (um) profissional de limpeza em turnos de 12 (doze) x 36 (trinta e seis) horas</t>
  </si>
  <si>
    <t>Posto Diurno em escala 12x36</t>
  </si>
  <si>
    <t>Posto Noturno em escala 12x36</t>
  </si>
  <si>
    <t xml:space="preserve">Nº de Ordem </t>
  </si>
  <si>
    <t>Item</t>
  </si>
  <si>
    <t>Luvas de raspa</t>
  </si>
  <si>
    <t>Luvas de borracha cano longo com certificado de aprovação amarela para setor critico</t>
  </si>
  <si>
    <t>Luvas   de   borracha   cano   longo   com   certificado   de   aprovação   azul   para   setor administrativo</t>
  </si>
  <si>
    <t>Máscara cirúrgica caixa com 50</t>
  </si>
  <si>
    <t>Caixa com 100</t>
  </si>
  <si>
    <t>Protetor facial Pff2 / N95</t>
  </si>
  <si>
    <t>Avental impermeável</t>
  </si>
  <si>
    <t>Toucas descartáveis</t>
  </si>
  <si>
    <t>Pacote com 100</t>
  </si>
  <si>
    <t>Kit de proteção individual para roçador</t>
  </si>
  <si>
    <t>1 kit</t>
  </si>
  <si>
    <t>Bota profissional de borracha branca fechado antiderrapante</t>
  </si>
  <si>
    <t>UNIFORME SERVENTES</t>
  </si>
  <si>
    <t>Camiseta de algodão com timbre da empresa</t>
  </si>
  <si>
    <t>Calça de brim algodão</t>
  </si>
  <si>
    <t>UNIFORME ENCARREGADO</t>
  </si>
  <si>
    <t>Camisa social em material tricoline</t>
  </si>
  <si>
    <t>MATERIAL/INSUMOS DE LIMPEZA</t>
  </si>
  <si>
    <t>Esponja multiúso 25 x 7.5 x 11 centímetros (pacote com 08)</t>
  </si>
  <si>
    <t>Pano de limpeza para teto e paredes, tipo saco branco de algodão.</t>
  </si>
  <si>
    <t>Pano de limpeza multiúso 28cm x 50cm com 600 panos</t>
  </si>
  <si>
    <t>Rolo</t>
  </si>
  <si>
    <t>Sabonete  para  higienização  das  mãos  sem  antimicrobiano  antialérgico,  PH  neutro, contendo emolientes que estimulem a regeneração celular como Glicerina, vitamina A e vitamina  E,  promovendo  uma  pele  íntegra  e  saudável,  isento  de  fragrâncias  e  corante. Acondicionado  em  frasco  semirrígido  colapsáveis  de  PET  inviolável  de  600ml  com válvula  antivazamento  e  ante  entupimento,  proporcionando  dispensação  de  0,7  ml  por procedimento,  versão  manual,100%  reciclável.  Uso  em  dispenser  com  sistema  de monitoramento de adesão às práticas de higiene das mãos acoplado, Apresentar também Laudos   como   não   irritante   cutâneo,   dermatologicamente   testado   em   humanos   e fotossensibilidade.</t>
  </si>
  <si>
    <t>Detergente para limpeza piso hospitalar sem fragrância concentrado</t>
  </si>
  <si>
    <t>Frasco 5 litros</t>
  </si>
  <si>
    <t>Detergente para limpeza de piso hospitalar com fragrância concentrado</t>
  </si>
  <si>
    <t>desinfetante hospitalar a base de Quaternário de Amônio De 5° Geração embalagens com apresentação 5 blend de moléculas de cloreto de alquildimetilbenzil amônio e cloreto de didecildimetil   amônio   -   e   PHMB   (polihexametilenobiguanida),   Embalagens   com apresentação  1  LITRO  o  produto  deve  estar  devidamente  registrado  na  ANVISA  e  o fabricante deverá apresentar os laudos de comprovação da eficácia do produto frente, no mínimo,  aos  seguintesmicrorganismos:  Staphylococcus  aureus,  MRSA,  VRE,  KPC, Acinetobacter baumanii, H1N1,Rotavírus, BaciIIus subtiIis, Mycobacterium smegmatis e Clostridium  difficile  esporulado  com  tempo  de  contato  inferior  a  5  min.  Tempo  de contato  para  multiresistentes  de  no  mínimo  1min,  sem  necessidade  de  enxague.  Laudo comprovando  efeito  residual  de  até  30  dias  em  superfícies  fixas.  O  produto  deverá apresentar laudos de eficácia microbiológica em condições de sujidade para provar que tem  ação  limpadora.  O  produto  deve  ter  comprovação  da  biodegradabilidade  de  seus tensoativos. Apresentar Autorização de Funcionamento e Certificado de Boas Práticas de Fabricação de Saneantes.</t>
  </si>
  <si>
    <t>Frasco 5 litros Diluição de 1:400</t>
  </si>
  <si>
    <t>Galão</t>
  </si>
  <si>
    <t>Alvejante  com  cloro  ativo,  acondicionado  em  galão  de  05  litros  para  remoção  de sujidades simples</t>
  </si>
  <si>
    <t>Papel  higiênico  folha  dupla  face,  rolão  de  300  metros  Composição:  100%  celulose, branco.</t>
  </si>
  <si>
    <t>Papel Toalha em Bobina 200 metros Fibras celulósicas 100% virgens, para suporte auto corte Indicada a utilização de apenas duas folhas para completa secagem das mãos.</t>
  </si>
  <si>
    <t>Gasolina</t>
  </si>
  <si>
    <t>Litros</t>
  </si>
  <si>
    <t>Refil mop cabeleira limpeza úmida cor diferenciada para setor crítico</t>
  </si>
  <si>
    <t>Refil mop para limpeza de parede cor diferenciada para setor crítico</t>
  </si>
  <si>
    <t>Garra de MOP</t>
  </si>
  <si>
    <t>Garra de Esfregão</t>
  </si>
  <si>
    <t>EQUIPAMENTOS</t>
  </si>
  <si>
    <t>Dispensador para papel higiênico produzido em chapa de aço carbono 1020 e acabamento pintura eletrostática branca (epóxi). O sistema de fechamento é feito através de fechadura central tipo “Allen”, que mantém o produto trancado, evitando, assim o furto do papel, bem  como  a  abertura  indevida  da  tampa  do  suporte,  possui  visor  para  controle  da reposição  do  papel.  Acompanha  chave  Allen  e  kit  contendo  buchas  e  parafusos  para fixação na parede.</t>
  </si>
  <si>
    <r>
      <rPr>
        <sz val="11"/>
        <rFont val="Calibri"/>
        <family val="2"/>
        <scheme val="minor"/>
      </rPr>
      <t xml:space="preserve">Lixeira   retangular   com   pedal   Estrutura   Interna   em   Aço   Carbono,   fabricada   em polipropileno  (PP),  este  contendor  de </t>
    </r>
    <r>
      <rPr>
        <b/>
        <sz val="11"/>
        <rFont val="Calibri"/>
        <family val="2"/>
        <scheme val="minor"/>
      </rPr>
      <t xml:space="preserve">3 0 </t>
    </r>
    <r>
      <rPr>
        <sz val="11"/>
        <rFont val="Calibri"/>
        <family val="2"/>
        <scheme val="minor"/>
      </rPr>
      <t>litros  atende  às  normas  estabelecidas  pela Anvisa.  Acompanha  uma  armação  para  segurar  o  saco  de  lixo  e  um  adesivo  à  parte, conforme o resíduo a ser coletado.</t>
    </r>
  </si>
  <si>
    <t>Carrinho Funcional Carrinho de limpeza completo: Conjunto balde espremedor 30 litros - Kit  composto  de:  01  Balde  Espremedor  Doblo  30l  (divisão  de  água  limpa  e  suja);  01 Haste com Refil Mop; 01 Placa de Sinalização Piso Molhado (obrigatória por lei durante o processo de limpeza). balde espremedor: amarelo e vermelho para área Crítica e azul e verde para área administrativa e pá coletora</t>
  </si>
  <si>
    <t>Carrinho de mão caçamba metálica</t>
  </si>
  <si>
    <t>Carro coletor de lixo 240 litros</t>
  </si>
  <si>
    <t>Escada portátil 06 degraus</t>
  </si>
  <si>
    <t>Escada portátil 03 degraus</t>
  </si>
  <si>
    <t>Extensão / 50 Metros</t>
  </si>
  <si>
    <t>Tesoura para poda de grama</t>
  </si>
  <si>
    <t>Rastelo para jardinagem em aço</t>
  </si>
  <si>
    <t>Enxada</t>
  </si>
  <si>
    <t>Roçadeira/Aparador de Grama</t>
  </si>
  <si>
    <t>Vassoura grande para limpeza área externa</t>
  </si>
  <si>
    <t>Kit de Manutenção de balde espremedor para carro funcional de limpeza</t>
  </si>
  <si>
    <r>
      <rPr>
        <b/>
        <sz val="11"/>
        <rFont val="Calibri"/>
        <family val="2"/>
        <scheme val="minor"/>
      </rPr>
      <t xml:space="preserve">Lavadora  de  piso  industrial,  com  produtividade  de  recolhimento  via  guidão,  com rodo em formato "V" com borrachas que poder ser usadas dos 4 lados.
</t>
    </r>
    <r>
      <rPr>
        <sz val="11"/>
        <rFont val="Calibri"/>
        <family val="2"/>
        <scheme val="minor"/>
      </rPr>
      <t>Produtividade mínima: 1750m²/h Tanque mínimo: 55 Litros
Tensão: 110/220v Potência mínima: 400w
Pressão mínima da escova: 25kg Velocidade mínima: 3,5km/h
Modelo de Referência: IPC BRASIL CT45</t>
    </r>
  </si>
  <si>
    <t>Mangueira de 50 metros</t>
  </si>
  <si>
    <t>Escova para limpar vaso sanitário com estojo</t>
  </si>
  <si>
    <t>Pulverizador manual com borrifador e pressão acumulada, 2 litros, para jardim</t>
  </si>
  <si>
    <t>Diluidor para produtos concentrados</t>
  </si>
  <si>
    <t>Container para depósito de resíduos com capacidade de 500 litros</t>
  </si>
  <si>
    <t>Pulverizador agrícola 20 litros para área externa</t>
  </si>
  <si>
    <t>EPI'S</t>
  </si>
  <si>
    <t>TOTAL MENSAL POR  ENCARREGADO</t>
  </si>
  <si>
    <t xml:space="preserve">TOTAL MENSAL </t>
  </si>
  <si>
    <t>Quantidade Anual</t>
  </si>
  <si>
    <r>
      <t xml:space="preserve">Dispensador Toalheiro para papel Bobina aço carbono/inox ou polipropileno com suporte para rolos de 200 metros, </t>
    </r>
    <r>
      <rPr>
        <b/>
        <sz val="11"/>
        <rFont val="Calibri"/>
        <family val="2"/>
        <scheme val="minor"/>
      </rPr>
      <t>com sistema de alavanca</t>
    </r>
    <r>
      <rPr>
        <sz val="11"/>
        <rFont val="Calibri"/>
        <family val="2"/>
        <scheme val="minor"/>
      </rPr>
      <t>, proporcionando maior facilidade e economia  indicado  para  ambientes  com  alto  de  fluxo  de  pessoas  ,  com  chave  de segurança</t>
    </r>
  </si>
  <si>
    <r>
      <t xml:space="preserve">Dispensador de </t>
    </r>
    <r>
      <rPr>
        <b/>
        <sz val="11"/>
        <rFont val="Calibri"/>
        <family val="2"/>
        <scheme val="minor"/>
      </rPr>
      <t xml:space="preserve">sabonete espuma </t>
    </r>
    <r>
      <rPr>
        <sz val="11"/>
        <rFont val="Calibri"/>
        <family val="2"/>
        <scheme val="minor"/>
      </rPr>
      <t xml:space="preserve">de material resistente para ambientes de alto fluxo de pessoas </t>
    </r>
    <r>
      <rPr>
        <b/>
        <sz val="11"/>
        <rFont val="Calibri"/>
        <family val="2"/>
        <scheme val="minor"/>
      </rPr>
      <t>compatível com a embalagem de sistema fechado do sabonete</t>
    </r>
  </si>
  <si>
    <r>
      <t xml:space="preserve">Dispensador para </t>
    </r>
    <r>
      <rPr>
        <b/>
        <sz val="11"/>
        <rFont val="Calibri"/>
        <family val="2"/>
        <scheme val="minor"/>
      </rPr>
      <t xml:space="preserve">antisséptico em espuma </t>
    </r>
    <r>
      <rPr>
        <sz val="11"/>
        <rFont val="Calibri"/>
        <family val="2"/>
        <scheme val="minor"/>
      </rPr>
      <t xml:space="preserve">para higienização das mãos de alta resistência para  ambiente  com  alto  fluxo  de  pessoas </t>
    </r>
    <r>
      <rPr>
        <b/>
        <sz val="11"/>
        <rFont val="Calibri"/>
        <family val="2"/>
        <scheme val="minor"/>
      </rPr>
      <t>compatível  com  embalagem  de  sistema fechado</t>
    </r>
  </si>
  <si>
    <r>
      <t xml:space="preserve">Fibra abrasiva para esfregão, </t>
    </r>
    <r>
      <rPr>
        <b/>
        <sz val="11"/>
        <rFont val="Calibri"/>
        <family val="2"/>
        <scheme val="minor"/>
      </rPr>
      <t>cor branca</t>
    </r>
  </si>
  <si>
    <r>
      <t xml:space="preserve">Rodo com base e cabo em alumínio, </t>
    </r>
    <r>
      <rPr>
        <b/>
        <sz val="11"/>
        <rFont val="Calibri"/>
        <family val="2"/>
        <scheme val="minor"/>
      </rPr>
      <t>base de  40 cm</t>
    </r>
  </si>
  <si>
    <r>
      <t xml:space="preserve">Rodo com base e cabo em alumínio, </t>
    </r>
    <r>
      <rPr>
        <b/>
        <sz val="11"/>
        <rFont val="Calibri"/>
        <family val="2"/>
        <scheme val="minor"/>
      </rPr>
      <t>base de 60 cm</t>
    </r>
  </si>
  <si>
    <r>
      <t xml:space="preserve">Disco para enceradeira de fibra abrasiva de limpeza pesada, </t>
    </r>
    <r>
      <rPr>
        <b/>
        <sz val="11"/>
        <rFont val="Calibri"/>
        <family val="2"/>
        <scheme val="minor"/>
      </rPr>
      <t>preta</t>
    </r>
  </si>
  <si>
    <r>
      <t xml:space="preserve">Disco para enceradeira de fibra abrasiva de limpeza média, </t>
    </r>
    <r>
      <rPr>
        <b/>
        <sz val="11"/>
        <rFont val="Calibri"/>
        <family val="2"/>
        <scheme val="minor"/>
      </rPr>
      <t>verde</t>
    </r>
  </si>
  <si>
    <t>Lixeira  retangular  com  pedal  Pedal  Plástico  Reforçado,  Estrutura  Interna  em  Aço Carbono, fabricada em polipropileno (PP), este contendor de 60 litros atende às normas estabelecidas pela Anvisa. Acompanha uma armação para segurar o saco de lixo e um adesivo à parte, conforme o resíduo a ser coletado.</t>
  </si>
  <si>
    <r>
      <t xml:space="preserve">Fibra abrasiva para esfregão, </t>
    </r>
    <r>
      <rPr>
        <b/>
        <sz val="11"/>
        <rFont val="Calibri"/>
        <family val="2"/>
        <scheme val="minor"/>
      </rPr>
      <t>cor verde</t>
    </r>
  </si>
  <si>
    <r>
      <t xml:space="preserve">Saco para coleta de resíduos, </t>
    </r>
    <r>
      <rPr>
        <b/>
        <sz val="11"/>
        <rFont val="Calibri"/>
        <family val="2"/>
        <scheme val="minor"/>
      </rPr>
      <t>tipo D</t>
    </r>
    <r>
      <rPr>
        <sz val="11"/>
        <rFont val="Calibri"/>
        <family val="2"/>
        <scheme val="minor"/>
      </rPr>
      <t>, 100litros cor preta com 100 unidades</t>
    </r>
  </si>
  <si>
    <t>1/650</t>
  </si>
  <si>
    <t xml:space="preserve">Áreas de Circulação Semi Críticas (Diurno) </t>
  </si>
  <si>
    <t>Áreas Operacionais Hospitalares Semi Críticas (Diurno)</t>
  </si>
  <si>
    <t>3.3</t>
  </si>
  <si>
    <t>Setor Fechado para UTI (Bloco II) – 12 (doze) horas noturnas, de segunda-feira a domingo, envolvendo 01 (um) profissional de limpeza em turnos de 12 (doze) x 36 (trinta e seis) horas</t>
  </si>
  <si>
    <t>Setor Fechado para UTI (Bloco III) – 12 (doze) horas noturnas, de segunda-feira a domingo, envolvendo 01 (um) profissional de limpeza em turnos de 12 (doze) x 36 (trinta e seis) horas</t>
  </si>
  <si>
    <t>1/(30x350)</t>
  </si>
  <si>
    <t>1/(30x450)</t>
  </si>
  <si>
    <t>1/(30x650)</t>
  </si>
  <si>
    <t>1/(30x550)</t>
  </si>
  <si>
    <t>40% * 1.412,00</t>
  </si>
  <si>
    <r>
      <t xml:space="preserve">desinfetante  hospitalar  multiuso  para  limpeza  dos </t>
    </r>
    <r>
      <rPr>
        <b/>
        <sz val="11"/>
        <rFont val="Calibri"/>
        <family val="2"/>
        <scheme val="minor"/>
      </rPr>
      <t xml:space="preserve">setores não críticos </t>
    </r>
    <r>
      <rPr>
        <sz val="11"/>
        <rFont val="Calibri"/>
        <family val="2"/>
        <scheme val="minor"/>
      </rPr>
      <t>(paredes,  tetos  e mobiliários)  utilizado nos setores administrativos, galão de 05 litros.</t>
    </r>
  </si>
  <si>
    <t>INFORMAÇÃO :</t>
  </si>
  <si>
    <t>Antisséptico   instantâneo   em   espuma   contendo   álcool   70%,   agentes   hidratantes   e emolientes,  como  glicerina,  D-pantenol,  vitamina  E,  que  promovem  a  regeneração celular.  Acondicionado  em  frasco  semi  -  rígido  colapsáveis  de  PET  de  600  mL  com válvula  anti-  vazamento  e  antientupimento,  proporcionando  dispensação  de  0,4  ml  na versão automática e 0,7 ml versão manual por procedimento, 100% reciclável. Uso em dispenser  com  sistema  de  monitoramento  de  adesão  às  práticas  de  higiene  das  mãos acoplado,   Apresentando    laudos    REBLAS    frente    aos    seguintes    microganismos: Staphylococcus  aureus,Salmonella  choleraesuis,  Pseudomona  aeruginosa  e  Escherichia coli,    MRSA,    VRE   AcinetoSalmonella    choleraesuis,    Pseudomona    aeruginosa    e Escherichia coli, MRSA, VRE Acinetobaumanni, KPC e H1N1.
Tempo  de  contato  máximo  de  30  segundos.  Apresentar  também  Laudos  como  não irritante  cutâneo,  dermatologicamente  testado  em  humanos  e  teor  alcoólico  baumanni, KPC e H1N1.</t>
  </si>
  <si>
    <t>Esponja multiúso - O valor cotado para o referido item foi R$0,59, todavia, o valor corresponde a unidade, sendo assim, devido o fato de o TR solicitar pacote com 08, o valor unitário corresponde a R$0,59*8 = 4,72.</t>
  </si>
  <si>
    <t>Sabonete  - O valor cotado para o referido item foi R$16,65, todavia, o valor corresponde a galão com 5 litros, sendo assim, devido o fato de o TR solicitar embalagem com 600ml, o valor unitário corresponde a R$16,65/8,33 = 2,00.</t>
  </si>
  <si>
    <r>
      <t xml:space="preserve">desinfetante  hospitalar  concentrado  para  limpeza  dos </t>
    </r>
    <r>
      <rPr>
        <b/>
        <sz val="11"/>
        <rFont val="Calibri"/>
        <family val="2"/>
        <scheme val="minor"/>
      </rPr>
      <t>setores  críticos</t>
    </r>
    <r>
      <rPr>
        <sz val="11"/>
        <rFont val="Calibri"/>
        <family val="2"/>
        <scheme val="minor"/>
      </rPr>
      <t>(paredes,  tetos  e mobiliários)   a   base   de   Quaternário   de  Amônio   De   5°   Geração   embalagens   com apresentação 5 blend de moléculas de cloreto de alquildimetilbenzil amônio e cloreto de didecildimetil    amônia    e    PHMB    (polihexametilenobiguanida),    Embalagens    com apresentação5 litros com tampa dosadora para diluição o produto deve estar devidamente registrado  na ANVISA e  o  fabricante  deverá  apresentar  os  laudos  de  comprovação  da eficácia  do  produto  frente,  no  mínimo,  aos  seguintesmicrorganismos:  Staphylococcus aureus, MRSA, VRE, KPC, Acinetobacter baumanii, H1N1,Rotavírus, BaciIIus subtiIis, Mycobacterium  smegmatis  e  Clostridium  difficile  esporulado  com  tempo  de  contato inferior  a  5  min.  Tempo  de  contato  para  multiresistentes  de  no  mínimo  1min,  sem necessidade   de   enxague.   Laudo   comprovando   efeito   residual   de   até   30   dias   em superfícies  fixas.  O  produto  deverá  apresentar  laudos  de  eficácia  microbiológica  em condições  de  sujidade  para  provar  que  tem  ação  limpadora.  O  produto  deve  ter comprovação  da  biodegradabilidade  de  seus  tensoativos.  Apresentar  Autorização  de Funcionamento e Certificado de Boas Práticas de Fabricação de Saneantes.</t>
    </r>
  </si>
  <si>
    <t>Informamos que a vida útil dos materiais referentes ao processo em questão foi definida com base no processo 0036.491064/2020-52, com Termo de Referência 0039313488, uma vez que o termo de referência inicial não especificava essa informação.</t>
  </si>
  <si>
    <t>Desinfetante  hospitalar  concentrado - O valor cotado para o referido item foi R$6,00, todavia, o valor corresponde a 1 litro, sendo assim, devido o fato de o TR solicitar galão com 5 litros, o valor unitário corresponde a R$6,00*2 = 30,00.</t>
  </si>
  <si>
    <t>Saco para coleta de resíduos, tipo D, 960 litros - valor do item fora equipadoa ao item saco para coleta de resíduos, tipo D, 100litros cor preta com 100 unidades.</t>
  </si>
  <si>
    <r>
      <t xml:space="preserve">Saco para coleta de resíduos, </t>
    </r>
    <r>
      <rPr>
        <b/>
        <sz val="11"/>
        <rFont val="Calibri"/>
        <family val="2"/>
        <scheme val="minor"/>
      </rPr>
      <t>tipo D</t>
    </r>
    <r>
      <rPr>
        <sz val="11"/>
        <rFont val="Calibri"/>
        <family val="2"/>
        <scheme val="minor"/>
      </rPr>
      <t>, 960 litros cor preta, pacote com 100 unidades</t>
    </r>
  </si>
  <si>
    <t>Desinfetante  hospitalar  multiuso - O valor cotado para o referido item foi R$2,87, todavia, o valor corresponde a 1 litro, sendo assim, devido o fato de o TR solicitar galão com 5 litros, o valor unitário corresponde a R$2,87*5 = 14,35.</t>
  </si>
  <si>
    <t>Papel Toalha em Bobina 200 metros - O valor cotado para o referido item foi R$58,00, todavia, o valor corresponde embalegem com 6 rolos, sendo assim, devido o fato de o TR solicitar um rolo, o valor unitário corresponde a R$58,00/6 = 9,67.</t>
  </si>
  <si>
    <t>Face externa sem exposição a situação de risco</t>
  </si>
  <si>
    <t>Face interna com exposição a situação de risco</t>
  </si>
  <si>
    <t>Face externa com exposição a situação de risco</t>
  </si>
  <si>
    <t>1/2700</t>
  </si>
  <si>
    <t>1/(30x2700)</t>
  </si>
  <si>
    <t>1/9000</t>
  </si>
  <si>
    <t>1/(30x9000)</t>
  </si>
  <si>
    <t>1/380</t>
  </si>
  <si>
    <t>1/(30x380)</t>
  </si>
  <si>
    <t>1/160</t>
  </si>
  <si>
    <t>1/(30x160)</t>
  </si>
  <si>
    <t xml:space="preserve">VALOR POSTO </t>
  </si>
  <si>
    <t>3.2</t>
  </si>
  <si>
    <t>3.4</t>
  </si>
  <si>
    <t>MÃO DE OBRA NECESSÁRIA</t>
  </si>
  <si>
    <t>UNIDADE</t>
  </si>
  <si>
    <t xml:space="preserve">VALOR UNITÁRIO (M²) </t>
  </si>
  <si>
    <t>VALOR TOTAL (MENSAL)</t>
  </si>
  <si>
    <t>VALOR TOTAL
(12 MESES)</t>
  </si>
  <si>
    <t>PLANILHA DE CUSTOS - Assistência Médica Intensiva - AMI</t>
  </si>
  <si>
    <t>RO000094/2024</t>
  </si>
  <si>
    <t>581,85-(581,85*0,99%)</t>
  </si>
  <si>
    <t>1.618,08*50%*0,0199*2/12</t>
  </si>
  <si>
    <t>Férias (8,33%) e Adicional de Férias (2,78%)</t>
  </si>
  <si>
    <t>C1. A - PIS</t>
  </si>
  <si>
    <t>C1. B - COFINS</t>
  </si>
  <si>
    <t xml:space="preserve">C3. A - ISS </t>
  </si>
  <si>
    <r>
      <rPr>
        <b/>
        <sz val="11"/>
        <rFont val="Calibri"/>
        <family val="2"/>
        <scheme val="minor"/>
      </rPr>
      <t>INSS</t>
    </r>
    <r>
      <rPr>
        <sz val="11"/>
        <rFont val="Calibri"/>
        <family val="2"/>
        <scheme val="minor"/>
      </rPr>
      <t xml:space="preserve"> (20%)</t>
    </r>
  </si>
  <si>
    <r>
      <rPr>
        <b/>
        <sz val="11"/>
        <rFont val="Calibri"/>
        <family val="2"/>
        <scheme val="minor"/>
      </rPr>
      <t>SESI OU SESC</t>
    </r>
    <r>
      <rPr>
        <sz val="11"/>
        <rFont val="Calibri"/>
        <family val="2"/>
        <scheme val="minor"/>
      </rPr>
      <t xml:space="preserve"> (1,5%)</t>
    </r>
  </si>
  <si>
    <r>
      <rPr>
        <b/>
        <sz val="11"/>
        <rFont val="Calibri"/>
        <family val="2"/>
        <scheme val="minor"/>
      </rPr>
      <t>SENAI OU SENAC</t>
    </r>
    <r>
      <rPr>
        <sz val="11"/>
        <rFont val="Calibri"/>
        <family val="2"/>
        <scheme val="minor"/>
      </rPr>
      <t xml:space="preserve"> (1,0%)</t>
    </r>
  </si>
  <si>
    <r>
      <rPr>
        <b/>
        <sz val="11"/>
        <rFont val="Calibri"/>
        <family val="2"/>
        <scheme val="minor"/>
      </rPr>
      <t xml:space="preserve">INCRA </t>
    </r>
    <r>
      <rPr>
        <sz val="11"/>
        <rFont val="Calibri"/>
        <family val="2"/>
        <scheme val="minor"/>
      </rPr>
      <t>(0,20% ou  2,7%) - IN nº971, MPS/SRP/2009, Anexo I e II ver código da Tabela</t>
    </r>
  </si>
  <si>
    <r>
      <rPr>
        <b/>
        <sz val="11"/>
        <rFont val="Calibri"/>
        <family val="2"/>
        <scheme val="minor"/>
      </rPr>
      <t>SALÁRIO EDUCAÇÃO</t>
    </r>
    <r>
      <rPr>
        <sz val="11"/>
        <rFont val="Calibri"/>
        <family val="2"/>
        <scheme val="minor"/>
      </rPr>
      <t xml:space="preserve"> (2,5%)</t>
    </r>
  </si>
  <si>
    <r>
      <rPr>
        <b/>
        <sz val="11"/>
        <rFont val="Calibri"/>
        <family val="2"/>
        <scheme val="minor"/>
      </rPr>
      <t>RAT X SAT (Conforme GFIP)</t>
    </r>
    <r>
      <rPr>
        <sz val="11"/>
        <rFont val="Calibri"/>
        <family val="2"/>
        <scheme val="minor"/>
      </rPr>
      <t xml:space="preserve"> (Riscos Ambientais do Trabalho) (Sat/Inss(médio)) (Riscos: Leve 1,0%, Médio 2,0%, Grave 3,0% - veja Decreto 3048/99 - Anexo V (CNAE de 1% a 3% FAP de 0,5 a 2,0)</t>
    </r>
  </si>
  <si>
    <r>
      <t xml:space="preserve">Dispensador de sabonete liquido em </t>
    </r>
    <r>
      <rPr>
        <b/>
        <sz val="11"/>
        <rFont val="Calibri"/>
        <family val="2"/>
        <scheme val="minor"/>
      </rPr>
      <t xml:space="preserve">em material compatível com o sabonete líquido de sistema fechado, </t>
    </r>
    <r>
      <rPr>
        <sz val="11"/>
        <rFont val="Calibri"/>
        <family val="2"/>
        <scheme val="minor"/>
      </rPr>
      <t>para ambientes de alto fluxo de pessoas.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</si>
</sst>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quot;R$&quot;\ * #,##0.00_-;\-&quot;R$&quot;\ * #,##0.00_-;_-&quot;R$&quot;\ * &quot;-&quot;??_-;_-@_-"/>
    <numFmt numFmtId="43" formatCode="_-* #,##0.00_-;\-* #,##0.00_-;_-* &quot;-&quot;??_-;_-@_-"/>
    <numFmt numFmtId="164" formatCode="0.000%"/>
    <numFmt numFmtId="165" formatCode="&quot;R$&quot;\ #,##0.00"/>
    <numFmt numFmtId="166" formatCode="&quot;R$ &quot;#,##0.00"/>
    <numFmt numFmtId="167" formatCode="0.0000000"/>
    <numFmt numFmtId="168" formatCode="0.00000000"/>
    <numFmt numFmtId="169" formatCode="00"/>
  </numFmts>
  <fonts count="38"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u/>
      <sz val="10"/>
      <color indexed="12"/>
      <name val="Arial"/>
      <family val="2"/>
    </font>
    <font>
      <i/>
      <sz val="10"/>
      <color rgb="FF002060"/>
      <name val="Calibri"/>
      <family val="2"/>
      <scheme val="minor"/>
    </font>
    <font>
      <b/>
      <sz val="8"/>
      <color rgb="FF000000"/>
      <name val="Verdana"/>
      <family val="2"/>
    </font>
    <font>
      <b/>
      <sz val="16"/>
      <color rgb="FF002060"/>
      <name val="Calibri"/>
      <family val="2"/>
      <scheme val="minor"/>
    </font>
    <font>
      <sz val="14"/>
      <color theme="1"/>
      <name val="Calibri"/>
      <family val="2"/>
      <scheme val="minor"/>
    </font>
    <font>
      <sz val="8"/>
      <color rgb="FF000000"/>
      <name val="Verdana"/>
      <family val="2"/>
    </font>
    <font>
      <b/>
      <sz val="8"/>
      <color rgb="FFFF0000"/>
      <name val="Verdana"/>
      <family val="2"/>
    </font>
    <font>
      <sz val="14"/>
      <color rgb="FF000000"/>
      <name val="Times New Roman"/>
      <family val="1"/>
    </font>
    <font>
      <sz val="10"/>
      <color rgb="FF000000"/>
      <name val="Verdana"/>
      <family val="2"/>
    </font>
    <font>
      <b/>
      <sz val="14"/>
      <color rgb="FF000000"/>
      <name val="Calibri"/>
      <family val="2"/>
      <scheme val="minor"/>
    </font>
    <font>
      <sz val="14"/>
      <color rgb="FF000000"/>
      <name val="Calibri"/>
      <family val="2"/>
      <scheme val="minor"/>
    </font>
    <font>
      <b/>
      <u/>
      <sz val="14"/>
      <color rgb="FF000000"/>
      <name val="Calibri"/>
      <family val="2"/>
      <scheme val="minor"/>
    </font>
    <font>
      <b/>
      <sz val="14"/>
      <color rgb="FF000000"/>
      <name val="Times New Roman"/>
      <family val="1"/>
    </font>
    <font>
      <b/>
      <sz val="14"/>
      <color indexed="10"/>
      <name val="Arial"/>
      <family val="2"/>
    </font>
    <font>
      <b/>
      <sz val="14"/>
      <color indexed="48"/>
      <name val="Trebuchet MS"/>
      <family val="2"/>
    </font>
    <font>
      <b/>
      <sz val="14"/>
      <color indexed="10"/>
      <name val="Trebuchet MS"/>
      <family val="2"/>
    </font>
    <font>
      <sz val="12"/>
      <name val="Times New Roman"/>
      <family val="1"/>
    </font>
    <font>
      <b/>
      <sz val="12"/>
      <name val="Times New Roman"/>
      <family val="1"/>
    </font>
    <font>
      <sz val="10"/>
      <name val="Times New Roman"/>
      <family val="1"/>
    </font>
    <font>
      <sz val="11"/>
      <name val="Calibri"/>
      <family val="2"/>
      <scheme val="minor"/>
    </font>
    <font>
      <b/>
      <sz val="11"/>
      <name val="Calibri"/>
      <family val="2"/>
      <scheme val="minor"/>
    </font>
    <font>
      <b/>
      <i/>
      <sz val="11"/>
      <name val="Calibri"/>
      <family val="2"/>
      <scheme val="minor"/>
    </font>
    <font>
      <b/>
      <sz val="11"/>
      <color theme="0"/>
      <name val="Calibri"/>
      <family val="2"/>
      <scheme val="minor"/>
    </font>
    <font>
      <strike/>
      <sz val="11"/>
      <name val="Calibri"/>
      <family val="2"/>
      <scheme val="minor"/>
    </font>
    <font>
      <u/>
      <sz val="11"/>
      <name val="Calibri"/>
      <family val="2"/>
      <scheme val="minor"/>
    </font>
    <font>
      <b/>
      <sz val="11"/>
      <color indexed="8"/>
      <name val="Calibri"/>
      <family val="2"/>
      <scheme val="minor"/>
    </font>
    <font>
      <vertAlign val="superscript"/>
      <sz val="11"/>
      <name val="Calibri"/>
      <family val="2"/>
      <scheme val="minor"/>
    </font>
    <font>
      <b/>
      <sz val="11"/>
      <color rgb="FFFF0000"/>
      <name val="Calibri"/>
      <family val="2"/>
      <scheme val="minor"/>
    </font>
    <font>
      <b/>
      <sz val="11"/>
      <name val="Times New Roman"/>
      <family val="1"/>
    </font>
    <font>
      <sz val="11"/>
      <color rgb="FF000000"/>
      <name val="Calibri"/>
      <family val="2"/>
      <scheme val="minor"/>
    </font>
    <font>
      <sz val="10"/>
      <color rgb="FF000000"/>
      <name val="Times New Roman"/>
      <family val="1"/>
    </font>
    <font>
      <sz val="10"/>
      <color rgb="FF000000"/>
      <name val="Times New Roman"/>
      <family val="1"/>
    </font>
    <font>
      <b/>
      <sz val="11"/>
      <color rgb="FF000000"/>
      <name val="Calibri"/>
      <family val="2"/>
      <scheme val="minor"/>
    </font>
    <font>
      <sz val="11"/>
      <color rgb="FFFF0000"/>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2" tint="-0.249977111117893"/>
        <bgColor indexed="64"/>
      </patternFill>
    </fill>
    <fill>
      <patternFill patternType="solid">
        <fgColor theme="9" tint="0.79998168889431442"/>
        <bgColor indexed="64"/>
      </patternFill>
    </fill>
  </fills>
  <borders count="6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style="thin">
        <color rgb="FF000000"/>
      </left>
      <right style="thin">
        <color rgb="FF000000"/>
      </right>
      <top style="thin">
        <color rgb="FF000000"/>
      </top>
      <bottom style="thin">
        <color rgb="FF000000"/>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s>
  <cellStyleXfs count="12">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xf numFmtId="0" fontId="3" fillId="0" borderId="0"/>
    <xf numFmtId="0" fontId="1" fillId="0" borderId="0"/>
    <xf numFmtId="0" fontId="4" fillId="0" borderId="0" applyNumberFormat="0" applyFill="0" applyBorder="0" applyAlignment="0" applyProtection="0">
      <alignment vertical="top"/>
      <protection locked="0"/>
    </xf>
    <xf numFmtId="43" fontId="1" fillId="0" borderId="0" applyFont="0" applyFill="0" applyBorder="0" applyAlignment="0" applyProtection="0"/>
    <xf numFmtId="0" fontId="34" fillId="0" borderId="0"/>
    <xf numFmtId="44" fontId="1" fillId="0" borderId="0" applyFont="0" applyFill="0" applyBorder="0" applyAlignment="0" applyProtection="0"/>
    <xf numFmtId="43" fontId="1" fillId="0" borderId="0" applyFont="0" applyFill="0" applyBorder="0" applyAlignment="0" applyProtection="0"/>
    <xf numFmtId="0" fontId="35" fillId="0" borderId="0"/>
  </cellStyleXfs>
  <cellXfs count="503">
    <xf numFmtId="0" fontId="0" fillId="0" borderId="0" xfId="0"/>
    <xf numFmtId="0" fontId="6" fillId="2" borderId="15" xfId="0" applyFont="1" applyFill="1" applyBorder="1" applyAlignment="1">
      <alignment wrapText="1"/>
    </xf>
    <xf numFmtId="0" fontId="6" fillId="2" borderId="16" xfId="0" applyFont="1" applyFill="1" applyBorder="1" applyAlignment="1">
      <alignment horizontal="center" wrapText="1"/>
    </xf>
    <xf numFmtId="0" fontId="8" fillId="0" borderId="0" xfId="0" applyFont="1" applyAlignment="1">
      <alignment horizontal="justify"/>
    </xf>
    <xf numFmtId="0" fontId="9" fillId="2" borderId="16" xfId="0" applyFont="1" applyFill="1" applyBorder="1" applyAlignment="1">
      <alignment horizontal="justify" wrapText="1"/>
    </xf>
    <xf numFmtId="0" fontId="11" fillId="0" borderId="0" xfId="0" applyFont="1" applyAlignment="1">
      <alignment horizontal="justify" wrapText="1"/>
    </xf>
    <xf numFmtId="0" fontId="12" fillId="2" borderId="16" xfId="0" applyFont="1" applyFill="1" applyBorder="1" applyAlignment="1">
      <alignment horizontal="center" wrapText="1"/>
    </xf>
    <xf numFmtId="0" fontId="9" fillId="2" borderId="16" xfId="0" applyFont="1" applyFill="1" applyBorder="1" applyAlignment="1">
      <alignment horizontal="center" wrapText="1"/>
    </xf>
    <xf numFmtId="0" fontId="0" fillId="0" borderId="15" xfId="0" applyBorder="1" applyAlignment="1">
      <alignment horizontal="center"/>
    </xf>
    <xf numFmtId="0" fontId="0" fillId="0" borderId="17" xfId="0" applyBorder="1" applyAlignment="1">
      <alignment horizontal="center"/>
    </xf>
    <xf numFmtId="0" fontId="0" fillId="0" borderId="15" xfId="0" applyBorder="1"/>
    <xf numFmtId="0" fontId="9" fillId="2" borderId="17" xfId="0" applyFont="1" applyFill="1" applyBorder="1" applyAlignment="1">
      <alignment horizontal="center" wrapText="1"/>
    </xf>
    <xf numFmtId="0" fontId="0" fillId="0" borderId="16" xfId="0" applyBorder="1"/>
    <xf numFmtId="0" fontId="0" fillId="0" borderId="16" xfId="0" applyBorder="1" applyAlignment="1">
      <alignment horizontal="center"/>
    </xf>
    <xf numFmtId="0" fontId="0" fillId="3" borderId="16" xfId="0" applyFill="1" applyBorder="1"/>
    <xf numFmtId="0" fontId="0" fillId="3" borderId="16" xfId="0" applyFill="1" applyBorder="1" applyAlignment="1">
      <alignment horizontal="center"/>
    </xf>
    <xf numFmtId="0" fontId="0" fillId="0" borderId="17" xfId="0" applyBorder="1"/>
    <xf numFmtId="0" fontId="4" fillId="0" borderId="0" xfId="6" applyAlignment="1" applyProtection="1"/>
    <xf numFmtId="0" fontId="16" fillId="0" borderId="0" xfId="0" applyFont="1" applyAlignment="1">
      <alignment horizontal="center" wrapText="1"/>
    </xf>
    <xf numFmtId="0" fontId="2" fillId="0" borderId="0" xfId="0" applyFont="1"/>
    <xf numFmtId="0" fontId="8" fillId="0" borderId="0" xfId="0" applyFont="1"/>
    <xf numFmtId="0" fontId="18" fillId="0" borderId="18" xfId="0" applyFont="1" applyBorder="1" applyAlignment="1">
      <alignment horizontal="center" vertical="center" wrapText="1"/>
    </xf>
    <xf numFmtId="0" fontId="19" fillId="0" borderId="19" xfId="0" applyFont="1" applyBorder="1" applyAlignment="1">
      <alignment horizontal="justify" vertical="center" wrapText="1"/>
    </xf>
    <xf numFmtId="0" fontId="19" fillId="0" borderId="20" xfId="0" applyFont="1" applyBorder="1" applyAlignment="1">
      <alignment horizontal="justify" vertical="center" wrapText="1"/>
    </xf>
    <xf numFmtId="0" fontId="19" fillId="0" borderId="14" xfId="0" applyFont="1" applyBorder="1" applyAlignment="1">
      <alignment horizontal="justify" vertical="center" wrapText="1"/>
    </xf>
    <xf numFmtId="0" fontId="19" fillId="0" borderId="13" xfId="0" applyFont="1" applyBorder="1" applyAlignment="1">
      <alignment horizontal="justify" vertical="center" wrapText="1"/>
    </xf>
    <xf numFmtId="0" fontId="19" fillId="0" borderId="21" xfId="0" applyFont="1" applyBorder="1" applyAlignment="1">
      <alignment horizontal="justify" vertical="center" wrapText="1"/>
    </xf>
    <xf numFmtId="0" fontId="19" fillId="0" borderId="22" xfId="0" applyFont="1" applyBorder="1" applyAlignment="1">
      <alignment horizontal="justify" vertical="center" wrapText="1"/>
    </xf>
    <xf numFmtId="0" fontId="22" fillId="0" borderId="0" xfId="0" applyFont="1" applyAlignment="1">
      <alignment horizontal="center" vertical="center"/>
    </xf>
    <xf numFmtId="0" fontId="22" fillId="0" borderId="0" xfId="0" applyFont="1" applyAlignment="1">
      <alignment vertical="center"/>
    </xf>
    <xf numFmtId="0" fontId="22" fillId="0" borderId="0" xfId="0" applyFont="1" applyAlignment="1">
      <alignment horizontal="left" vertical="center"/>
    </xf>
    <xf numFmtId="44" fontId="22" fillId="0" borderId="0" xfId="0" applyNumberFormat="1" applyFont="1" applyAlignment="1">
      <alignment vertical="center"/>
    </xf>
    <xf numFmtId="0" fontId="20" fillId="0" borderId="0" xfId="0" applyFont="1" applyAlignment="1">
      <alignment vertical="center"/>
    </xf>
    <xf numFmtId="0" fontId="20" fillId="0" borderId="0" xfId="0" applyFont="1" applyAlignment="1">
      <alignment horizontal="center" vertical="center"/>
    </xf>
    <xf numFmtId="0" fontId="21" fillId="0" borderId="0" xfId="0" applyFont="1" applyAlignment="1">
      <alignment vertical="center"/>
    </xf>
    <xf numFmtId="0" fontId="20" fillId="0" borderId="0" xfId="0" applyFont="1" applyAlignment="1">
      <alignment horizontal="justify" vertical="center"/>
    </xf>
    <xf numFmtId="164" fontId="21" fillId="0" borderId="0" xfId="2" applyNumberFormat="1" applyFont="1" applyFill="1" applyBorder="1" applyAlignment="1">
      <alignment vertical="center"/>
    </xf>
    <xf numFmtId="4" fontId="20" fillId="0" borderId="0" xfId="0" applyNumberFormat="1" applyFont="1" applyAlignment="1">
      <alignment horizontal="right" vertical="center"/>
    </xf>
    <xf numFmtId="4" fontId="20" fillId="0" borderId="0" xfId="0" applyNumberFormat="1" applyFont="1" applyAlignment="1">
      <alignment horizontal="justify" vertical="center"/>
    </xf>
    <xf numFmtId="4" fontId="20" fillId="0" borderId="0" xfId="2" applyNumberFormat="1" applyFont="1" applyFill="1" applyBorder="1" applyAlignment="1">
      <alignment vertical="center"/>
    </xf>
    <xf numFmtId="44" fontId="20" fillId="0" borderId="0" xfId="1" applyFont="1" applyFill="1" applyBorder="1" applyAlignment="1">
      <alignment horizontal="justify" vertical="center"/>
    </xf>
    <xf numFmtId="4" fontId="20" fillId="0" borderId="0" xfId="0" applyNumberFormat="1" applyFont="1" applyAlignment="1">
      <alignment vertical="center"/>
    </xf>
    <xf numFmtId="4" fontId="22" fillId="0" borderId="0" xfId="0" applyNumberFormat="1" applyFont="1" applyAlignment="1">
      <alignment vertical="center"/>
    </xf>
    <xf numFmtId="43" fontId="22" fillId="0" borderId="0" xfId="7" applyFont="1" applyFill="1" applyAlignment="1">
      <alignment horizontal="center" vertical="center"/>
    </xf>
    <xf numFmtId="43" fontId="22" fillId="0" borderId="0" xfId="7" applyFont="1" applyFill="1" applyBorder="1" applyAlignment="1">
      <alignment horizontal="center" vertical="center"/>
    </xf>
    <xf numFmtId="0" fontId="20" fillId="2" borderId="0" xfId="0" applyFont="1" applyFill="1" applyAlignment="1">
      <alignment vertical="center"/>
    </xf>
    <xf numFmtId="0" fontId="21" fillId="2" borderId="0" xfId="0" applyFont="1" applyFill="1" applyAlignment="1">
      <alignment vertical="center"/>
    </xf>
    <xf numFmtId="0" fontId="24" fillId="0" borderId="4" xfId="0" applyFont="1" applyBorder="1" applyAlignment="1">
      <alignment horizontal="center" vertical="center" wrapText="1"/>
    </xf>
    <xf numFmtId="4" fontId="23" fillId="0" borderId="4" xfId="0" applyNumberFormat="1" applyFont="1" applyBorder="1" applyAlignment="1">
      <alignment horizontal="center" vertical="center"/>
    </xf>
    <xf numFmtId="0" fontId="23" fillId="0" borderId="4" xfId="0" applyFont="1" applyBorder="1" applyAlignment="1">
      <alignment horizontal="justify" vertical="center"/>
    </xf>
    <xf numFmtId="4" fontId="23" fillId="2" borderId="4" xfId="5" applyNumberFormat="1" applyFont="1" applyFill="1" applyBorder="1" applyAlignment="1">
      <alignment horizontal="center" vertical="center" wrapText="1"/>
    </xf>
    <xf numFmtId="0" fontId="24" fillId="7" borderId="18" xfId="0" applyFont="1" applyFill="1" applyBorder="1" applyAlignment="1">
      <alignment horizontal="center" vertical="center" wrapText="1"/>
    </xf>
    <xf numFmtId="0" fontId="23" fillId="2" borderId="28" xfId="0" applyFont="1" applyFill="1" applyBorder="1" applyAlignment="1">
      <alignment horizontal="center" vertical="center"/>
    </xf>
    <xf numFmtId="0" fontId="23" fillId="2" borderId="4" xfId="3" applyFont="1" applyFill="1" applyBorder="1" applyAlignment="1">
      <alignment horizontal="right" vertical="center" wrapText="1"/>
    </xf>
    <xf numFmtId="0" fontId="23" fillId="2" borderId="4" xfId="4" applyFont="1" applyFill="1" applyBorder="1" applyAlignment="1">
      <alignment horizontal="justify" vertical="center" wrapText="1"/>
    </xf>
    <xf numFmtId="0" fontId="23" fillId="2" borderId="4" xfId="0" applyFont="1" applyFill="1" applyBorder="1" applyAlignment="1">
      <alignment horizontal="justify" vertical="center"/>
    </xf>
    <xf numFmtId="0" fontId="24" fillId="2" borderId="28" xfId="5" applyFont="1" applyFill="1" applyBorder="1" applyAlignment="1">
      <alignment horizontal="center" vertical="center" wrapText="1"/>
    </xf>
    <xf numFmtId="0" fontId="23" fillId="2" borderId="28" xfId="0" applyFont="1" applyFill="1" applyBorder="1" applyAlignment="1">
      <alignment horizontal="center" vertical="center" wrapText="1"/>
    </xf>
    <xf numFmtId="0" fontId="24" fillId="0" borderId="1" xfId="5" applyFont="1" applyBorder="1" applyAlignment="1">
      <alignment vertical="center" wrapText="1"/>
    </xf>
    <xf numFmtId="0" fontId="23" fillId="0" borderId="28" xfId="5" applyFont="1" applyBorder="1" applyAlignment="1">
      <alignment horizontal="center" vertical="center" wrapText="1"/>
    </xf>
    <xf numFmtId="0" fontId="23" fillId="0" borderId="4" xfId="5" applyFont="1" applyBorder="1" applyAlignment="1">
      <alignment vertical="center" wrapText="1"/>
    </xf>
    <xf numFmtId="0" fontId="23" fillId="0" borderId="3" xfId="0" applyFont="1" applyBorder="1" applyAlignment="1">
      <alignment vertical="center" wrapText="1"/>
    </xf>
    <xf numFmtId="0" fontId="23" fillId="0" borderId="4" xfId="0" applyFont="1" applyBorder="1" applyAlignment="1">
      <alignment vertical="center"/>
    </xf>
    <xf numFmtId="10" fontId="23" fillId="0" borderId="4" xfId="2" applyNumberFormat="1" applyFont="1" applyFill="1" applyBorder="1" applyAlignment="1">
      <alignment horizontal="center" vertical="center"/>
    </xf>
    <xf numFmtId="0" fontId="23" fillId="2" borderId="4" xfId="5" applyFont="1" applyFill="1" applyBorder="1" applyAlignment="1">
      <alignment vertical="center"/>
    </xf>
    <xf numFmtId="164" fontId="24" fillId="2" borderId="4" xfId="2" applyNumberFormat="1" applyFont="1" applyFill="1" applyBorder="1" applyAlignment="1">
      <alignment horizontal="justify" vertical="center"/>
    </xf>
    <xf numFmtId="164" fontId="24" fillId="0" borderId="4" xfId="2" applyNumberFormat="1" applyFont="1" applyFill="1" applyBorder="1" applyAlignment="1">
      <alignment horizontal="justify" vertical="center"/>
    </xf>
    <xf numFmtId="164" fontId="24" fillId="0" borderId="4" xfId="2" applyNumberFormat="1" applyFont="1" applyFill="1" applyBorder="1" applyAlignment="1">
      <alignment vertical="center"/>
    </xf>
    <xf numFmtId="0" fontId="24" fillId="2" borderId="4" xfId="5" applyFont="1" applyFill="1" applyBorder="1" applyAlignment="1">
      <alignment horizontal="center" vertical="center" wrapText="1"/>
    </xf>
    <xf numFmtId="0" fontId="24" fillId="0" borderId="1" xfId="5" applyFont="1" applyBorder="1" applyAlignment="1">
      <alignment vertical="center"/>
    </xf>
    <xf numFmtId="0" fontId="28" fillId="0" borderId="4" xfId="6" applyFont="1" applyFill="1" applyBorder="1" applyAlignment="1" applyProtection="1">
      <alignment horizontal="justify" vertical="center"/>
    </xf>
    <xf numFmtId="0" fontId="23" fillId="0" borderId="1" xfId="5" applyFont="1" applyBorder="1" applyAlignment="1">
      <alignment vertical="center" wrapText="1"/>
    </xf>
    <xf numFmtId="0" fontId="24" fillId="0" borderId="10" xfId="5" applyFont="1" applyBorder="1" applyAlignment="1">
      <alignment horizontal="center" vertical="center" wrapText="1"/>
    </xf>
    <xf numFmtId="0" fontId="24" fillId="0" borderId="4" xfId="0" applyFont="1" applyBorder="1" applyAlignment="1">
      <alignment horizontal="center" vertical="center"/>
    </xf>
    <xf numFmtId="168" fontId="24" fillId="0" borderId="4" xfId="0" applyNumberFormat="1" applyFont="1" applyBorder="1" applyAlignment="1">
      <alignment horizontal="center" vertical="center"/>
    </xf>
    <xf numFmtId="166" fontId="24" fillId="0" borderId="4" xfId="0" applyNumberFormat="1" applyFont="1" applyBorder="1" applyAlignment="1">
      <alignment horizontal="center" vertical="center"/>
    </xf>
    <xf numFmtId="0" fontId="23" fillId="0" borderId="3" xfId="0" applyFont="1" applyBorder="1" applyAlignment="1">
      <alignment horizontal="center" vertical="center" wrapText="1"/>
    </xf>
    <xf numFmtId="10" fontId="24" fillId="5" borderId="4" xfId="2" applyNumberFormat="1" applyFont="1" applyFill="1" applyBorder="1" applyAlignment="1">
      <alignment horizontal="center" vertical="center"/>
    </xf>
    <xf numFmtId="165" fontId="23" fillId="0" borderId="4" xfId="0" applyNumberFormat="1" applyFont="1" applyBorder="1" applyAlignment="1">
      <alignment horizontal="center" vertical="center"/>
    </xf>
    <xf numFmtId="0" fontId="23" fillId="0" borderId="4" xfId="5" applyFont="1" applyBorder="1" applyAlignment="1">
      <alignment horizontal="center" vertical="center"/>
    </xf>
    <xf numFmtId="165" fontId="23" fillId="0" borderId="9" xfId="0" applyNumberFormat="1" applyFont="1" applyBorder="1" applyAlignment="1">
      <alignment horizontal="center" vertical="center"/>
    </xf>
    <xf numFmtId="0" fontId="24" fillId="4" borderId="28" xfId="5" applyFont="1" applyFill="1" applyBorder="1" applyAlignment="1">
      <alignment horizontal="center" vertical="center" wrapText="1"/>
    </xf>
    <xf numFmtId="0" fontId="24" fillId="4" borderId="4" xfId="0" applyFont="1" applyFill="1" applyBorder="1" applyAlignment="1">
      <alignment horizontal="center" vertical="center" wrapText="1"/>
    </xf>
    <xf numFmtId="0" fontId="24" fillId="4" borderId="3" xfId="0" applyFont="1" applyFill="1" applyBorder="1" applyAlignment="1">
      <alignment vertical="center" wrapText="1"/>
    </xf>
    <xf numFmtId="165" fontId="23" fillId="0" borderId="26" xfId="0" applyNumberFormat="1" applyFont="1" applyBorder="1" applyAlignment="1">
      <alignment horizontal="center" vertical="center"/>
    </xf>
    <xf numFmtId="165" fontId="24" fillId="5" borderId="26" xfId="0" applyNumberFormat="1" applyFont="1" applyFill="1" applyBorder="1" applyAlignment="1">
      <alignment horizontal="center" vertical="center"/>
    </xf>
    <xf numFmtId="10" fontId="24" fillId="5" borderId="4" xfId="0" applyNumberFormat="1" applyFont="1" applyFill="1" applyBorder="1" applyAlignment="1">
      <alignment horizontal="center" vertical="center" wrapText="1"/>
    </xf>
    <xf numFmtId="165" fontId="24" fillId="2" borderId="26" xfId="5" applyNumberFormat="1" applyFont="1" applyFill="1" applyBorder="1" applyAlignment="1">
      <alignment horizontal="center" vertical="center" wrapText="1"/>
    </xf>
    <xf numFmtId="165" fontId="23" fillId="2" borderId="26" xfId="0" applyNumberFormat="1" applyFont="1" applyFill="1" applyBorder="1" applyAlignment="1">
      <alignment horizontal="center" vertical="center"/>
    </xf>
    <xf numFmtId="165" fontId="23" fillId="2" borderId="26" xfId="0" quotePrefix="1" applyNumberFormat="1" applyFont="1" applyFill="1" applyBorder="1" applyAlignment="1">
      <alignment horizontal="center" vertical="center"/>
    </xf>
    <xf numFmtId="165" fontId="24" fillId="6" borderId="26" xfId="0" applyNumberFormat="1" applyFont="1" applyFill="1" applyBorder="1" applyAlignment="1">
      <alignment horizontal="center" vertical="center"/>
    </xf>
    <xf numFmtId="165" fontId="24" fillId="4" borderId="26" xfId="5" applyNumberFormat="1" applyFont="1" applyFill="1" applyBorder="1" applyAlignment="1">
      <alignment horizontal="center" vertical="center" wrapText="1"/>
    </xf>
    <xf numFmtId="165" fontId="24" fillId="0" borderId="26" xfId="5" applyNumberFormat="1" applyFont="1" applyBorder="1" applyAlignment="1">
      <alignment horizontal="center" vertical="center" wrapText="1"/>
    </xf>
    <xf numFmtId="165" fontId="23" fillId="2" borderId="4" xfId="5" applyNumberFormat="1" applyFont="1" applyFill="1" applyBorder="1" applyAlignment="1">
      <alignment horizontal="center" vertical="center"/>
    </xf>
    <xf numFmtId="165" fontId="23" fillId="2" borderId="26" xfId="5" applyNumberFormat="1" applyFont="1" applyFill="1" applyBorder="1" applyAlignment="1">
      <alignment horizontal="center" vertical="center"/>
    </xf>
    <xf numFmtId="165" fontId="23" fillId="0" borderId="26" xfId="0" quotePrefix="1" applyNumberFormat="1" applyFont="1" applyBorder="1" applyAlignment="1">
      <alignment horizontal="center" vertical="center"/>
    </xf>
    <xf numFmtId="165" fontId="24" fillId="2" borderId="26" xfId="0" applyNumberFormat="1" applyFont="1" applyFill="1" applyBorder="1" applyAlignment="1">
      <alignment horizontal="center" vertical="center"/>
    </xf>
    <xf numFmtId="0" fontId="24" fillId="0" borderId="3" xfId="5" applyFont="1" applyBorder="1" applyAlignment="1">
      <alignment horizontal="center" vertical="center"/>
    </xf>
    <xf numFmtId="10" fontId="24" fillId="5" borderId="4" xfId="5" applyNumberFormat="1" applyFont="1" applyFill="1" applyBorder="1" applyAlignment="1">
      <alignment horizontal="center" vertical="center" wrapText="1"/>
    </xf>
    <xf numFmtId="165" fontId="24" fillId="6" borderId="31" xfId="0" applyNumberFormat="1" applyFont="1" applyFill="1" applyBorder="1" applyAlignment="1">
      <alignment horizontal="center" vertical="center"/>
    </xf>
    <xf numFmtId="0" fontId="23" fillId="0" borderId="4" xfId="0" applyFont="1" applyBorder="1" applyAlignment="1">
      <alignment vertical="center" wrapText="1"/>
    </xf>
    <xf numFmtId="0" fontId="23" fillId="0" borderId="4" xfId="5" applyFont="1" applyBorder="1" applyAlignment="1">
      <alignment horizontal="left" vertical="center" wrapText="1"/>
    </xf>
    <xf numFmtId="4" fontId="23" fillId="0" borderId="4" xfId="2" applyNumberFormat="1" applyFont="1" applyFill="1" applyBorder="1" applyAlignment="1">
      <alignment horizontal="center" vertical="center"/>
    </xf>
    <xf numFmtId="0" fontId="23" fillId="0" borderId="4" xfId="5" applyFont="1" applyBorder="1" applyAlignment="1">
      <alignment horizontal="center" vertical="center" wrapText="1"/>
    </xf>
    <xf numFmtId="10" fontId="23" fillId="0" borderId="9" xfId="2" applyNumberFormat="1" applyFont="1" applyFill="1" applyBorder="1" applyAlignment="1">
      <alignment horizontal="center" vertical="center"/>
    </xf>
    <xf numFmtId="165" fontId="24" fillId="5" borderId="24" xfId="0" applyNumberFormat="1" applyFont="1" applyFill="1" applyBorder="1" applyAlignment="1">
      <alignment horizontal="center" vertical="center"/>
    </xf>
    <xf numFmtId="165" fontId="24" fillId="3" borderId="26" xfId="5" applyNumberFormat="1" applyFont="1" applyFill="1" applyBorder="1" applyAlignment="1">
      <alignment horizontal="center" vertical="center" wrapText="1"/>
    </xf>
    <xf numFmtId="165" fontId="24" fillId="0" borderId="26" xfId="0" applyNumberFormat="1" applyFont="1" applyBorder="1" applyAlignment="1">
      <alignment horizontal="center" vertical="center"/>
    </xf>
    <xf numFmtId="165" fontId="24" fillId="5" borderId="36" xfId="0" applyNumberFormat="1" applyFont="1" applyFill="1" applyBorder="1" applyAlignment="1">
      <alignment horizontal="center" vertical="center"/>
    </xf>
    <xf numFmtId="165" fontId="24" fillId="4" borderId="26" xfId="0" applyNumberFormat="1" applyFont="1" applyFill="1" applyBorder="1" applyAlignment="1">
      <alignment horizontal="center" vertical="center"/>
    </xf>
    <xf numFmtId="0" fontId="24" fillId="2" borderId="4" xfId="5" applyFont="1" applyFill="1" applyBorder="1" applyAlignment="1">
      <alignment vertical="center" wrapText="1"/>
    </xf>
    <xf numFmtId="0" fontId="32" fillId="0" borderId="4" xfId="0" applyFont="1" applyBorder="1" applyAlignment="1">
      <alignment vertical="center"/>
    </xf>
    <xf numFmtId="0" fontId="23" fillId="2" borderId="4" xfId="0" applyFont="1" applyFill="1" applyBorder="1" applyAlignment="1">
      <alignment vertical="center" wrapText="1"/>
    </xf>
    <xf numFmtId="167" fontId="24" fillId="0" borderId="4" xfId="0" applyNumberFormat="1" applyFont="1" applyBorder="1" applyAlignment="1">
      <alignment horizontal="center" vertical="center"/>
    </xf>
    <xf numFmtId="165" fontId="24" fillId="6" borderId="27" xfId="0" applyNumberFormat="1" applyFont="1" applyFill="1" applyBorder="1" applyAlignment="1">
      <alignment horizontal="center" vertical="center"/>
    </xf>
    <xf numFmtId="165" fontId="23" fillId="0" borderId="14" xfId="0" applyNumberFormat="1" applyFont="1" applyBorder="1" applyAlignment="1">
      <alignment horizontal="center" vertical="center"/>
    </xf>
    <xf numFmtId="10" fontId="24" fillId="0" borderId="18" xfId="0" applyNumberFormat="1" applyFont="1" applyBorder="1" applyAlignment="1">
      <alignment horizontal="center" vertical="center"/>
    </xf>
    <xf numFmtId="165" fontId="23" fillId="0" borderId="26" xfId="1" applyNumberFormat="1" applyFont="1" applyFill="1" applyBorder="1" applyAlignment="1">
      <alignment horizontal="center" vertical="center"/>
    </xf>
    <xf numFmtId="165" fontId="23" fillId="0" borderId="51" xfId="0" applyNumberFormat="1" applyFont="1" applyBorder="1" applyAlignment="1">
      <alignment horizontal="center" vertical="center"/>
    </xf>
    <xf numFmtId="0" fontId="24" fillId="2" borderId="18" xfId="0" applyFont="1" applyFill="1" applyBorder="1" applyAlignment="1">
      <alignment horizontal="center" vertical="center" wrapText="1"/>
    </xf>
    <xf numFmtId="0" fontId="24" fillId="7" borderId="11" xfId="0" applyFont="1" applyFill="1" applyBorder="1" applyAlignment="1">
      <alignment vertical="center" wrapText="1"/>
    </xf>
    <xf numFmtId="4" fontId="23" fillId="0" borderId="1" xfId="0" applyNumberFormat="1" applyFont="1" applyBorder="1" applyAlignment="1">
      <alignment horizontal="center" vertical="center"/>
    </xf>
    <xf numFmtId="10" fontId="24" fillId="6" borderId="4" xfId="5" applyNumberFormat="1" applyFont="1" applyFill="1" applyBorder="1" applyAlignment="1">
      <alignment horizontal="center" vertical="center" wrapText="1"/>
    </xf>
    <xf numFmtId="0" fontId="23" fillId="0" borderId="28" xfId="0" applyFont="1" applyBorder="1" applyAlignment="1">
      <alignment horizontal="center" vertical="center" wrapText="1"/>
    </xf>
    <xf numFmtId="0" fontId="24" fillId="0" borderId="28" xfId="0" applyFont="1" applyBorder="1" applyAlignment="1">
      <alignment horizontal="center" vertical="center"/>
    </xf>
    <xf numFmtId="0" fontId="23" fillId="2" borderId="37" xfId="0" applyFont="1" applyFill="1" applyBorder="1" applyAlignment="1">
      <alignment horizontal="center" vertical="center" wrapText="1"/>
    </xf>
    <xf numFmtId="44" fontId="2" fillId="5" borderId="16" xfId="0" applyNumberFormat="1" applyFont="1" applyFill="1" applyBorder="1" applyAlignment="1">
      <alignment horizontal="center" vertical="center" wrapText="1"/>
    </xf>
    <xf numFmtId="165" fontId="23" fillId="2" borderId="45" xfId="0" applyNumberFormat="1" applyFont="1" applyFill="1" applyBorder="1" applyAlignment="1">
      <alignment horizontal="center" vertical="center" wrapText="1"/>
    </xf>
    <xf numFmtId="165" fontId="24" fillId="7" borderId="11" xfId="0" applyNumberFormat="1" applyFont="1" applyFill="1" applyBorder="1" applyAlignment="1">
      <alignment vertical="center" wrapText="1"/>
    </xf>
    <xf numFmtId="165" fontId="24" fillId="7" borderId="14" xfId="0" applyNumberFormat="1" applyFont="1" applyFill="1" applyBorder="1" applyAlignment="1">
      <alignment vertical="center" wrapText="1"/>
    </xf>
    <xf numFmtId="0" fontId="24" fillId="2" borderId="16" xfId="0" applyFont="1" applyFill="1" applyBorder="1" applyAlignment="1">
      <alignment horizontal="center" vertical="center" wrapText="1"/>
    </xf>
    <xf numFmtId="0" fontId="24" fillId="2" borderId="17" xfId="0" applyFont="1" applyFill="1" applyBorder="1" applyAlignment="1">
      <alignment horizontal="center" vertical="center" wrapText="1"/>
    </xf>
    <xf numFmtId="2" fontId="23" fillId="2" borderId="18" xfId="0" applyNumberFormat="1" applyFont="1" applyFill="1" applyBorder="1" applyAlignment="1">
      <alignment horizontal="center" vertical="center" wrapText="1"/>
    </xf>
    <xf numFmtId="2" fontId="23" fillId="2" borderId="17" xfId="0" applyNumberFormat="1" applyFont="1" applyFill="1" applyBorder="1" applyAlignment="1">
      <alignment horizontal="center" vertical="center" wrapText="1"/>
    </xf>
    <xf numFmtId="165" fontId="23" fillId="2" borderId="18" xfId="0" applyNumberFormat="1" applyFont="1" applyFill="1" applyBorder="1" applyAlignment="1">
      <alignment horizontal="center" vertical="center" wrapText="1"/>
    </xf>
    <xf numFmtId="165" fontId="25" fillId="7" borderId="18" xfId="0" applyNumberFormat="1" applyFont="1" applyFill="1" applyBorder="1" applyAlignment="1">
      <alignment horizontal="center"/>
    </xf>
    <xf numFmtId="2" fontId="23" fillId="2" borderId="16" xfId="0" applyNumberFormat="1" applyFont="1" applyFill="1" applyBorder="1" applyAlignment="1">
      <alignment horizontal="center" vertical="center" shrinkToFit="1"/>
    </xf>
    <xf numFmtId="44" fontId="24" fillId="0" borderId="14" xfId="0" applyNumberFormat="1" applyFont="1" applyBorder="1" applyAlignment="1">
      <alignment horizontal="center" vertical="center" wrapText="1"/>
    </xf>
    <xf numFmtId="0" fontId="24" fillId="2" borderId="37" xfId="0" applyFont="1" applyFill="1" applyBorder="1" applyAlignment="1">
      <alignment horizontal="center" vertical="center" wrapText="1"/>
    </xf>
    <xf numFmtId="0" fontId="23" fillId="2" borderId="11" xfId="0" applyFont="1" applyFill="1" applyBorder="1" applyAlignment="1">
      <alignment horizontal="left" vertical="center" wrapText="1"/>
    </xf>
    <xf numFmtId="0" fontId="23" fillId="2" borderId="41" xfId="0" applyFont="1" applyFill="1" applyBorder="1" applyAlignment="1">
      <alignment horizontal="left" vertical="center" wrapText="1"/>
    </xf>
    <xf numFmtId="0" fontId="23" fillId="2" borderId="16" xfId="0" applyFont="1" applyFill="1" applyBorder="1" applyAlignment="1">
      <alignment horizontal="center" vertical="center" wrapText="1"/>
    </xf>
    <xf numFmtId="2" fontId="33" fillId="2" borderId="16" xfId="0" applyNumberFormat="1" applyFont="1" applyFill="1" applyBorder="1" applyAlignment="1">
      <alignment horizontal="center" vertical="center" shrinkToFit="1"/>
    </xf>
    <xf numFmtId="0" fontId="23" fillId="2" borderId="26" xfId="0" applyFont="1" applyFill="1" applyBorder="1" applyAlignment="1">
      <alignment horizontal="center" vertical="center" wrapText="1"/>
    </xf>
    <xf numFmtId="0" fontId="24" fillId="2" borderId="28" xfId="0" applyFont="1" applyFill="1" applyBorder="1" applyAlignment="1">
      <alignment horizontal="center" vertical="center"/>
    </xf>
    <xf numFmtId="0" fontId="24" fillId="2" borderId="4" xfId="0" applyFont="1" applyFill="1" applyBorder="1" applyAlignment="1">
      <alignment horizontal="center" vertical="center"/>
    </xf>
    <xf numFmtId="168" fontId="24" fillId="2" borderId="4" xfId="0" applyNumberFormat="1" applyFont="1" applyFill="1" applyBorder="1" applyAlignment="1">
      <alignment horizontal="center" vertical="center"/>
    </xf>
    <xf numFmtId="166" fontId="24" fillId="2" borderId="4" xfId="0" applyNumberFormat="1" applyFont="1" applyFill="1" applyBorder="1" applyAlignment="1">
      <alignment horizontal="center" vertical="center"/>
    </xf>
    <xf numFmtId="166" fontId="24" fillId="2" borderId="26" xfId="0" applyNumberFormat="1" applyFont="1" applyFill="1" applyBorder="1" applyAlignment="1">
      <alignment horizontal="center" vertical="center"/>
    </xf>
    <xf numFmtId="49" fontId="24" fillId="2" borderId="4" xfId="0" applyNumberFormat="1" applyFont="1" applyFill="1" applyBorder="1" applyAlignment="1">
      <alignment horizontal="center" vertical="center"/>
    </xf>
    <xf numFmtId="0" fontId="23" fillId="0" borderId="26" xfId="0" applyFont="1" applyBorder="1" applyAlignment="1">
      <alignment horizontal="center" vertical="center" wrapText="1"/>
    </xf>
    <xf numFmtId="166" fontId="24" fillId="0" borderId="26" xfId="0" applyNumberFormat="1" applyFont="1" applyBorder="1" applyAlignment="1">
      <alignment horizontal="center" vertical="center"/>
    </xf>
    <xf numFmtId="166" fontId="24" fillId="0" borderId="36" xfId="0" applyNumberFormat="1" applyFont="1" applyBorder="1" applyAlignment="1">
      <alignment horizontal="center" vertical="center"/>
    </xf>
    <xf numFmtId="0" fontId="24" fillId="5" borderId="4" xfId="0" applyFont="1" applyFill="1" applyBorder="1" applyAlignment="1">
      <alignment horizontal="center" vertical="center"/>
    </xf>
    <xf numFmtId="0" fontId="24" fillId="5" borderId="4" xfId="0" applyFont="1" applyFill="1" applyBorder="1" applyAlignment="1">
      <alignment horizontal="center" vertical="center" wrapText="1"/>
    </xf>
    <xf numFmtId="2" fontId="24" fillId="7" borderId="11" xfId="0" applyNumberFormat="1" applyFont="1" applyFill="1" applyBorder="1" applyAlignment="1">
      <alignment vertical="center" wrapText="1"/>
    </xf>
    <xf numFmtId="166" fontId="24" fillId="2" borderId="36" xfId="0" applyNumberFormat="1" applyFont="1" applyFill="1" applyBorder="1" applyAlignment="1">
      <alignment horizontal="center" vertical="center"/>
    </xf>
    <xf numFmtId="0" fontId="24" fillId="2" borderId="37" xfId="0" applyFont="1" applyFill="1" applyBorder="1" applyAlignment="1">
      <alignment horizontal="right" vertical="center"/>
    </xf>
    <xf numFmtId="0" fontId="34" fillId="0" borderId="0" xfId="8" applyAlignment="1">
      <alignment horizontal="left" vertical="top"/>
    </xf>
    <xf numFmtId="0" fontId="24" fillId="5" borderId="4" xfId="8" applyFont="1" applyFill="1" applyBorder="1" applyAlignment="1">
      <alignment horizontal="center" vertical="center" wrapText="1"/>
    </xf>
    <xf numFmtId="169" fontId="33" fillId="0" borderId="4" xfId="8" applyNumberFormat="1" applyFont="1" applyBorder="1" applyAlignment="1">
      <alignment horizontal="center" vertical="center" shrinkToFit="1"/>
    </xf>
    <xf numFmtId="0" fontId="23" fillId="0" borderId="4" xfId="8" applyFont="1" applyBorder="1" applyAlignment="1">
      <alignment horizontal="left" vertical="center" wrapText="1"/>
    </xf>
    <xf numFmtId="0" fontId="23" fillId="0" borderId="4" xfId="8" applyFont="1" applyBorder="1" applyAlignment="1">
      <alignment horizontal="center" vertical="center" wrapText="1"/>
    </xf>
    <xf numFmtId="1" fontId="33" fillId="0" borderId="4" xfId="8" applyNumberFormat="1" applyFont="1" applyBorder="1" applyAlignment="1">
      <alignment horizontal="center" vertical="center" shrinkToFit="1"/>
    </xf>
    <xf numFmtId="0" fontId="24" fillId="5" borderId="26" xfId="0" applyFont="1" applyFill="1" applyBorder="1" applyAlignment="1">
      <alignment horizontal="center" vertical="center" wrapText="1"/>
    </xf>
    <xf numFmtId="0" fontId="24" fillId="5" borderId="28" xfId="8" applyFont="1" applyFill="1" applyBorder="1" applyAlignment="1">
      <alignment horizontal="center" vertical="center" wrapText="1"/>
    </xf>
    <xf numFmtId="0" fontId="2" fillId="5" borderId="26" xfId="0" applyFont="1" applyFill="1" applyBorder="1" applyAlignment="1">
      <alignment horizontal="center" vertical="center" wrapText="1"/>
    </xf>
    <xf numFmtId="169" fontId="33" fillId="0" borderId="28" xfId="8" applyNumberFormat="1" applyFont="1" applyBorder="1" applyAlignment="1">
      <alignment horizontal="center" vertical="center" shrinkToFit="1"/>
    </xf>
    <xf numFmtId="169" fontId="23" fillId="0" borderId="4" xfId="8" applyNumberFormat="1" applyFont="1" applyBorder="1" applyAlignment="1">
      <alignment horizontal="center" vertical="center" shrinkToFit="1"/>
    </xf>
    <xf numFmtId="165" fontId="33" fillId="0" borderId="4" xfId="8" applyNumberFormat="1" applyFont="1" applyBorder="1" applyAlignment="1">
      <alignment horizontal="center" vertical="center"/>
    </xf>
    <xf numFmtId="165" fontId="33" fillId="0" borderId="26" xfId="8" applyNumberFormat="1" applyFont="1" applyBorder="1" applyAlignment="1">
      <alignment horizontal="center" vertical="center"/>
    </xf>
    <xf numFmtId="165" fontId="36" fillId="5" borderId="4" xfId="8" applyNumberFormat="1" applyFont="1" applyFill="1" applyBorder="1" applyAlignment="1">
      <alignment horizontal="center" vertical="center"/>
    </xf>
    <xf numFmtId="165" fontId="36" fillId="5" borderId="26" xfId="8" applyNumberFormat="1" applyFont="1" applyFill="1" applyBorder="1" applyAlignment="1">
      <alignment horizontal="center" vertical="center"/>
    </xf>
    <xf numFmtId="165" fontId="36" fillId="7" borderId="15" xfId="8" applyNumberFormat="1" applyFont="1" applyFill="1" applyBorder="1" applyAlignment="1">
      <alignment horizontal="center" vertical="center"/>
    </xf>
    <xf numFmtId="165" fontId="36" fillId="7" borderId="18" xfId="8" applyNumberFormat="1" applyFont="1" applyFill="1" applyBorder="1" applyAlignment="1">
      <alignment horizontal="center" vertical="center"/>
    </xf>
    <xf numFmtId="0" fontId="23" fillId="2" borderId="4" xfId="8" applyFont="1" applyFill="1" applyBorder="1" applyAlignment="1">
      <alignment horizontal="center" vertical="center" wrapText="1"/>
    </xf>
    <xf numFmtId="169" fontId="33" fillId="2" borderId="4" xfId="8" applyNumberFormat="1" applyFont="1" applyFill="1" applyBorder="1" applyAlignment="1">
      <alignment horizontal="center" vertical="center" shrinkToFit="1"/>
    </xf>
    <xf numFmtId="165" fontId="33" fillId="2" borderId="4" xfId="8" applyNumberFormat="1" applyFont="1" applyFill="1" applyBorder="1" applyAlignment="1">
      <alignment horizontal="center" vertical="center"/>
    </xf>
    <xf numFmtId="169" fontId="23" fillId="2" borderId="28" xfId="8" applyNumberFormat="1" applyFont="1" applyFill="1" applyBorder="1" applyAlignment="1">
      <alignment horizontal="center" vertical="center" shrinkToFit="1"/>
    </xf>
    <xf numFmtId="0" fontId="23" fillId="2" borderId="4" xfId="8" applyFont="1" applyFill="1" applyBorder="1" applyAlignment="1">
      <alignment horizontal="left" vertical="center" wrapText="1"/>
    </xf>
    <xf numFmtId="1" fontId="23" fillId="2" borderId="4" xfId="8" applyNumberFormat="1" applyFont="1" applyFill="1" applyBorder="1" applyAlignment="1">
      <alignment horizontal="center" vertical="center" shrinkToFit="1"/>
    </xf>
    <xf numFmtId="165" fontId="23" fillId="2" borderId="4" xfId="8" applyNumberFormat="1" applyFont="1" applyFill="1" applyBorder="1" applyAlignment="1">
      <alignment horizontal="center" vertical="center"/>
    </xf>
    <xf numFmtId="165" fontId="23" fillId="2" borderId="26" xfId="8" applyNumberFormat="1" applyFont="1" applyFill="1" applyBorder="1" applyAlignment="1">
      <alignment horizontal="center" vertical="center"/>
    </xf>
    <xf numFmtId="1" fontId="33" fillId="2" borderId="4" xfId="8" applyNumberFormat="1" applyFont="1" applyFill="1" applyBorder="1" applyAlignment="1">
      <alignment horizontal="center" vertical="center" shrinkToFit="1"/>
    </xf>
    <xf numFmtId="169" fontId="33" fillId="2" borderId="28" xfId="8" applyNumberFormat="1" applyFont="1" applyFill="1" applyBorder="1" applyAlignment="1">
      <alignment horizontal="center" vertical="center" shrinkToFit="1"/>
    </xf>
    <xf numFmtId="165" fontId="33" fillId="2" borderId="26" xfId="8" applyNumberFormat="1" applyFont="1" applyFill="1" applyBorder="1" applyAlignment="1">
      <alignment horizontal="center" vertical="center"/>
    </xf>
    <xf numFmtId="165" fontId="33" fillId="0" borderId="51" xfId="8" applyNumberFormat="1" applyFont="1" applyBorder="1" applyAlignment="1">
      <alignment horizontal="center"/>
    </xf>
    <xf numFmtId="165" fontId="36" fillId="7" borderId="18" xfId="8" applyNumberFormat="1" applyFont="1" applyFill="1" applyBorder="1" applyAlignment="1">
      <alignment horizontal="center"/>
    </xf>
    <xf numFmtId="1" fontId="33" fillId="2" borderId="28" xfId="8" applyNumberFormat="1" applyFont="1" applyFill="1" applyBorder="1" applyAlignment="1">
      <alignment horizontal="center" vertical="center" shrinkToFit="1"/>
    </xf>
    <xf numFmtId="0" fontId="33" fillId="2" borderId="4" xfId="8" applyFont="1" applyFill="1" applyBorder="1" applyAlignment="1">
      <alignment horizontal="left" vertical="center" wrapText="1"/>
    </xf>
    <xf numFmtId="169" fontId="23" fillId="2" borderId="4" xfId="8" applyNumberFormat="1" applyFont="1" applyFill="1" applyBorder="1" applyAlignment="1">
      <alignment horizontal="center" vertical="center" shrinkToFit="1"/>
    </xf>
    <xf numFmtId="1" fontId="23" fillId="2" borderId="28" xfId="8" applyNumberFormat="1" applyFont="1" applyFill="1" applyBorder="1" applyAlignment="1">
      <alignment horizontal="center" vertical="center" shrinkToFit="1"/>
    </xf>
    <xf numFmtId="1" fontId="23" fillId="0" borderId="4" xfId="8" applyNumberFormat="1" applyFont="1" applyBorder="1" applyAlignment="1">
      <alignment horizontal="center" vertical="center" shrinkToFit="1"/>
    </xf>
    <xf numFmtId="1" fontId="1" fillId="2" borderId="28" xfId="8" applyNumberFormat="1" applyFont="1" applyFill="1" applyBorder="1" applyAlignment="1">
      <alignment horizontal="center" vertical="center" shrinkToFit="1"/>
    </xf>
    <xf numFmtId="0" fontId="1" fillId="2" borderId="4" xfId="8" applyFont="1" applyFill="1" applyBorder="1" applyAlignment="1">
      <alignment horizontal="left" vertical="center" wrapText="1"/>
    </xf>
    <xf numFmtId="0" fontId="1" fillId="2" borderId="4" xfId="8" applyFont="1" applyFill="1" applyBorder="1" applyAlignment="1">
      <alignment horizontal="center" vertical="center" wrapText="1"/>
    </xf>
    <xf numFmtId="169" fontId="1" fillId="2" borderId="4" xfId="8" applyNumberFormat="1" applyFont="1" applyFill="1" applyBorder="1" applyAlignment="1">
      <alignment horizontal="center" vertical="center" shrinkToFit="1"/>
    </xf>
    <xf numFmtId="165" fontId="1" fillId="2" borderId="4" xfId="8" applyNumberFormat="1" applyFont="1" applyFill="1" applyBorder="1" applyAlignment="1">
      <alignment horizontal="center" vertical="center"/>
    </xf>
    <xf numFmtId="165" fontId="1" fillId="2" borderId="26" xfId="8" applyNumberFormat="1" applyFont="1" applyFill="1" applyBorder="1" applyAlignment="1">
      <alignment horizontal="center" vertical="center"/>
    </xf>
    <xf numFmtId="0" fontId="24" fillId="2" borderId="1" xfId="5" applyFont="1" applyFill="1" applyBorder="1" applyAlignment="1">
      <alignment vertical="center" wrapText="1"/>
    </xf>
    <xf numFmtId="4" fontId="24" fillId="2" borderId="26" xfId="5" applyNumberFormat="1" applyFont="1" applyFill="1" applyBorder="1" applyAlignment="1">
      <alignment horizontal="center" vertical="center" wrapText="1"/>
    </xf>
    <xf numFmtId="0" fontId="24" fillId="0" borderId="4" xfId="5" applyFont="1" applyBorder="1" applyAlignment="1">
      <alignment horizontal="center" vertical="center" wrapText="1"/>
    </xf>
    <xf numFmtId="165" fontId="33" fillId="2" borderId="51" xfId="8" applyNumberFormat="1" applyFont="1" applyFill="1" applyBorder="1" applyAlignment="1">
      <alignment horizontal="center" vertical="center"/>
    </xf>
    <xf numFmtId="165" fontId="33" fillId="2" borderId="26" xfId="8" applyNumberFormat="1" applyFont="1" applyFill="1" applyBorder="1" applyAlignment="1">
      <alignment horizontal="center"/>
    </xf>
    <xf numFmtId="169" fontId="1" fillId="2" borderId="28" xfId="8" applyNumberFormat="1" applyFont="1" applyFill="1" applyBorder="1" applyAlignment="1">
      <alignment horizontal="center" vertical="center" shrinkToFit="1"/>
    </xf>
    <xf numFmtId="0" fontId="2" fillId="5" borderId="4" xfId="0" applyFont="1" applyFill="1" applyBorder="1" applyAlignment="1">
      <alignment horizontal="center" vertical="center" wrapText="1"/>
    </xf>
    <xf numFmtId="0" fontId="24" fillId="7" borderId="13" xfId="0" applyFont="1" applyFill="1" applyBorder="1" applyAlignment="1">
      <alignment horizontal="center" vertical="center" wrapText="1"/>
    </xf>
    <xf numFmtId="0" fontId="23" fillId="2" borderId="0" xfId="0" applyFont="1" applyFill="1" applyBorder="1" applyAlignment="1">
      <alignment horizontal="center" vertical="center" wrapText="1"/>
    </xf>
    <xf numFmtId="0" fontId="23" fillId="2" borderId="17" xfId="0" applyFont="1" applyFill="1" applyBorder="1" applyAlignment="1">
      <alignment horizontal="center" vertical="center" wrapText="1"/>
    </xf>
    <xf numFmtId="2" fontId="23" fillId="2" borderId="37" xfId="0" applyNumberFormat="1" applyFont="1" applyFill="1" applyBorder="1" applyAlignment="1">
      <alignment horizontal="center" vertical="center"/>
    </xf>
    <xf numFmtId="2" fontId="24" fillId="7" borderId="11" xfId="0" applyNumberFormat="1" applyFont="1" applyFill="1" applyBorder="1" applyAlignment="1">
      <alignment horizontal="center" vertical="center" wrapText="1"/>
    </xf>
    <xf numFmtId="2" fontId="23" fillId="2" borderId="16" xfId="0" applyNumberFormat="1" applyFont="1" applyFill="1" applyBorder="1" applyAlignment="1">
      <alignment horizontal="center" vertical="center"/>
    </xf>
    <xf numFmtId="0" fontId="23" fillId="2" borderId="18" xfId="0" applyFont="1" applyFill="1" applyBorder="1" applyAlignment="1">
      <alignment horizontal="center" vertical="center" wrapText="1"/>
    </xf>
    <xf numFmtId="165" fontId="24" fillId="7" borderId="11" xfId="0" applyNumberFormat="1" applyFont="1" applyFill="1" applyBorder="1" applyAlignment="1">
      <alignment horizontal="center" vertical="center" wrapText="1"/>
    </xf>
    <xf numFmtId="165" fontId="22" fillId="0" borderId="0" xfId="0" applyNumberFormat="1" applyFont="1" applyAlignment="1">
      <alignment vertical="center"/>
    </xf>
    <xf numFmtId="165" fontId="24" fillId="7" borderId="14" xfId="0" applyNumberFormat="1" applyFont="1" applyFill="1" applyBorder="1" applyAlignment="1">
      <alignment horizontal="center" vertical="center" wrapText="1"/>
    </xf>
    <xf numFmtId="0" fontId="37" fillId="2" borderId="45" xfId="0" applyFont="1" applyFill="1" applyBorder="1" applyAlignment="1">
      <alignment horizontal="center" vertical="center"/>
    </xf>
    <xf numFmtId="2" fontId="23" fillId="2" borderId="0" xfId="0" applyNumberFormat="1" applyFont="1" applyFill="1" applyBorder="1" applyAlignment="1">
      <alignment horizontal="center" vertical="center" shrinkToFit="1"/>
    </xf>
    <xf numFmtId="2" fontId="23" fillId="2" borderId="41" xfId="0" applyNumberFormat="1" applyFont="1" applyFill="1" applyBorder="1" applyAlignment="1">
      <alignment horizontal="center" vertical="center" shrinkToFit="1"/>
    </xf>
    <xf numFmtId="2" fontId="23" fillId="2" borderId="17" xfId="0" applyNumberFormat="1" applyFont="1" applyFill="1" applyBorder="1" applyAlignment="1">
      <alignment horizontal="center" vertical="center"/>
    </xf>
    <xf numFmtId="0" fontId="23" fillId="2" borderId="37" xfId="0" applyFont="1" applyFill="1" applyBorder="1" applyAlignment="1">
      <alignment horizontal="center" vertical="center"/>
    </xf>
    <xf numFmtId="0" fontId="23" fillId="2" borderId="16" xfId="0" applyFont="1" applyFill="1" applyBorder="1" applyAlignment="1">
      <alignment horizontal="center" vertical="center"/>
    </xf>
    <xf numFmtId="0" fontId="23" fillId="2" borderId="37" xfId="0" applyFont="1" applyFill="1" applyBorder="1" applyAlignment="1">
      <alignment horizontal="center" vertical="top" wrapText="1"/>
    </xf>
    <xf numFmtId="0" fontId="23" fillId="2" borderId="0" xfId="0" applyFont="1" applyFill="1" applyAlignment="1">
      <alignment horizontal="center" vertical="top"/>
    </xf>
    <xf numFmtId="165" fontId="23" fillId="2" borderId="16" xfId="0" applyNumberFormat="1" applyFont="1" applyFill="1" applyBorder="1" applyAlignment="1">
      <alignment horizontal="center" vertical="center" wrapText="1"/>
    </xf>
    <xf numFmtId="165" fontId="23" fillId="2" borderId="17" xfId="0" applyNumberFormat="1" applyFont="1" applyFill="1" applyBorder="1" applyAlignment="1">
      <alignment horizontal="center" vertical="center" wrapText="1"/>
    </xf>
    <xf numFmtId="1" fontId="33" fillId="2" borderId="32" xfId="8" applyNumberFormat="1" applyFont="1" applyFill="1" applyBorder="1" applyAlignment="1">
      <alignment horizontal="center" vertical="center" shrinkToFit="1"/>
    </xf>
    <xf numFmtId="0" fontId="23" fillId="2" borderId="9" xfId="8" applyFont="1" applyFill="1" applyBorder="1" applyAlignment="1">
      <alignment horizontal="left" vertical="center" wrapText="1"/>
    </xf>
    <xf numFmtId="0" fontId="23" fillId="2" borderId="9" xfId="8" applyFont="1" applyFill="1" applyBorder="1" applyAlignment="1">
      <alignment horizontal="center" vertical="center" wrapText="1"/>
    </xf>
    <xf numFmtId="169" fontId="33" fillId="2" borderId="9" xfId="8" applyNumberFormat="1" applyFont="1" applyFill="1" applyBorder="1" applyAlignment="1">
      <alignment horizontal="center" vertical="center" shrinkToFit="1"/>
    </xf>
    <xf numFmtId="165" fontId="33" fillId="2" borderId="9" xfId="8" applyNumberFormat="1" applyFont="1" applyFill="1" applyBorder="1" applyAlignment="1">
      <alignment horizontal="center" vertical="center"/>
    </xf>
    <xf numFmtId="165" fontId="36" fillId="5" borderId="18" xfId="8" applyNumberFormat="1" applyFont="1" applyFill="1" applyBorder="1" applyAlignment="1">
      <alignment horizontal="center" vertical="center"/>
    </xf>
    <xf numFmtId="1" fontId="23" fillId="2" borderId="32" xfId="8" applyNumberFormat="1" applyFont="1" applyFill="1" applyBorder="1" applyAlignment="1">
      <alignment horizontal="center" vertical="center" shrinkToFit="1"/>
    </xf>
    <xf numFmtId="169" fontId="23" fillId="2" borderId="9" xfId="8" applyNumberFormat="1" applyFont="1" applyFill="1" applyBorder="1" applyAlignment="1">
      <alignment horizontal="center" vertical="center" shrinkToFit="1"/>
    </xf>
    <xf numFmtId="1" fontId="23" fillId="2" borderId="9" xfId="8" applyNumberFormat="1" applyFont="1" applyFill="1" applyBorder="1" applyAlignment="1">
      <alignment horizontal="center" vertical="center" shrinkToFit="1"/>
    </xf>
    <xf numFmtId="165" fontId="23" fillId="2" borderId="9" xfId="8" applyNumberFormat="1" applyFont="1" applyFill="1" applyBorder="1" applyAlignment="1">
      <alignment horizontal="center" vertical="center"/>
    </xf>
    <xf numFmtId="165" fontId="36" fillId="5" borderId="15" xfId="8" applyNumberFormat="1" applyFont="1" applyFill="1" applyBorder="1" applyAlignment="1">
      <alignment horizontal="center" vertical="center"/>
    </xf>
    <xf numFmtId="0" fontId="23" fillId="0" borderId="4" xfId="0" applyFont="1" applyBorder="1" applyAlignment="1">
      <alignment horizontal="center" vertical="center" wrapText="1"/>
    </xf>
    <xf numFmtId="0" fontId="23" fillId="2" borderId="4"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13" xfId="0" applyFont="1" applyFill="1" applyBorder="1" applyAlignment="1">
      <alignment horizontal="center" vertical="center" wrapText="1"/>
    </xf>
    <xf numFmtId="2" fontId="2" fillId="7" borderId="11" xfId="0" applyNumberFormat="1" applyFont="1" applyFill="1" applyBorder="1" applyAlignment="1">
      <alignment horizontal="center" vertical="center" wrapText="1"/>
    </xf>
    <xf numFmtId="0" fontId="2" fillId="7" borderId="11" xfId="0" applyFont="1" applyFill="1" applyBorder="1" applyAlignment="1">
      <alignment vertical="center" wrapText="1"/>
    </xf>
    <xf numFmtId="2" fontId="2" fillId="7" borderId="11" xfId="0" applyNumberFormat="1" applyFont="1" applyFill="1" applyBorder="1" applyAlignment="1">
      <alignment vertical="center" wrapText="1"/>
    </xf>
    <xf numFmtId="165" fontId="2" fillId="7" borderId="11" xfId="0" applyNumberFormat="1" applyFont="1" applyFill="1" applyBorder="1" applyAlignment="1">
      <alignment vertical="center" wrapText="1"/>
    </xf>
    <xf numFmtId="165" fontId="2" fillId="7" borderId="14" xfId="0" applyNumberFormat="1" applyFont="1" applyFill="1" applyBorder="1" applyAlignment="1">
      <alignment vertical="center" wrapText="1"/>
    </xf>
    <xf numFmtId="0" fontId="2" fillId="9" borderId="18" xfId="0" applyFont="1" applyFill="1" applyBorder="1" applyAlignment="1">
      <alignment horizontal="center" vertical="center" wrapText="1"/>
    </xf>
    <xf numFmtId="44" fontId="2" fillId="9" borderId="18" xfId="0" applyNumberFormat="1" applyFont="1" applyFill="1" applyBorder="1" applyAlignment="1">
      <alignment horizontal="center" vertical="center" wrapText="1"/>
    </xf>
    <xf numFmtId="2" fontId="2" fillId="9" borderId="11" xfId="0" applyNumberFormat="1" applyFont="1" applyFill="1" applyBorder="1" applyAlignment="1">
      <alignment horizontal="center" vertical="center" wrapText="1"/>
    </xf>
    <xf numFmtId="0" fontId="2" fillId="9" borderId="17" xfId="0" applyFont="1" applyFill="1" applyBorder="1" applyAlignment="1">
      <alignment horizontal="center" vertical="center" wrapText="1"/>
    </xf>
    <xf numFmtId="44" fontId="2" fillId="9" borderId="17" xfId="0" applyNumberFormat="1" applyFont="1" applyFill="1" applyBorder="1" applyAlignment="1">
      <alignment horizontal="center" vertical="center" wrapText="1"/>
    </xf>
    <xf numFmtId="0" fontId="2" fillId="9" borderId="16" xfId="0" applyFont="1" applyFill="1" applyBorder="1" applyAlignment="1">
      <alignment horizontal="center" vertical="center" wrapText="1"/>
    </xf>
    <xf numFmtId="0" fontId="24" fillId="9" borderId="20" xfId="0" applyFont="1" applyFill="1" applyBorder="1" applyAlignment="1">
      <alignment horizontal="center" vertical="center" wrapText="1"/>
    </xf>
    <xf numFmtId="0" fontId="24" fillId="9" borderId="17" xfId="0" applyFont="1" applyFill="1" applyBorder="1" applyAlignment="1">
      <alignment horizontal="center" vertical="center" wrapText="1"/>
    </xf>
    <xf numFmtId="44" fontId="24" fillId="9" borderId="17" xfId="0" applyNumberFormat="1" applyFont="1" applyFill="1" applyBorder="1" applyAlignment="1">
      <alignment horizontal="center" vertical="center" wrapText="1"/>
    </xf>
    <xf numFmtId="44" fontId="2" fillId="9" borderId="16" xfId="0" applyNumberFormat="1" applyFont="1" applyFill="1" applyBorder="1" applyAlignment="1">
      <alignment horizontal="center" vertical="center" wrapText="1"/>
    </xf>
    <xf numFmtId="0" fontId="29" fillId="2" borderId="22" xfId="0" applyFont="1" applyFill="1" applyBorder="1" applyAlignment="1">
      <alignment horizontal="center" vertical="center" wrapText="1"/>
    </xf>
    <xf numFmtId="0" fontId="29" fillId="2" borderId="59" xfId="0" applyFont="1" applyFill="1" applyBorder="1" applyAlignment="1">
      <alignment horizontal="center" vertical="center" wrapText="1"/>
    </xf>
    <xf numFmtId="0" fontId="24" fillId="2" borderId="59" xfId="0" applyFont="1" applyFill="1" applyBorder="1" applyAlignment="1">
      <alignment horizontal="right" vertical="center" wrapText="1"/>
    </xf>
    <xf numFmtId="0" fontId="0" fillId="2" borderId="59" xfId="0" applyFill="1" applyBorder="1" applyAlignment="1">
      <alignment vertical="center"/>
    </xf>
    <xf numFmtId="0" fontId="0" fillId="2" borderId="59" xfId="0" applyFill="1" applyBorder="1"/>
    <xf numFmtId="0" fontId="0" fillId="2" borderId="21" xfId="0" applyFill="1" applyBorder="1"/>
    <xf numFmtId="0" fontId="23" fillId="2" borderId="0" xfId="0" applyFont="1" applyFill="1" applyBorder="1" applyAlignment="1">
      <alignment horizontal="center" vertical="center"/>
    </xf>
    <xf numFmtId="167" fontId="24" fillId="2" borderId="0" xfId="0" applyNumberFormat="1" applyFont="1" applyFill="1" applyBorder="1" applyAlignment="1">
      <alignment horizontal="center" vertical="center"/>
    </xf>
    <xf numFmtId="0" fontId="24" fillId="2" borderId="0" xfId="0" applyFont="1" applyFill="1" applyBorder="1" applyAlignment="1">
      <alignment horizontal="center" vertical="center"/>
    </xf>
    <xf numFmtId="166" fontId="24" fillId="2" borderId="0" xfId="0" applyNumberFormat="1" applyFont="1" applyFill="1" applyBorder="1" applyAlignment="1">
      <alignment horizontal="center" vertical="center"/>
    </xf>
    <xf numFmtId="0" fontId="37" fillId="2" borderId="0" xfId="0" applyFont="1" applyFill="1" applyBorder="1" applyAlignment="1">
      <alignment horizontal="center" vertical="center"/>
    </xf>
    <xf numFmtId="0" fontId="24" fillId="2" borderId="0" xfId="0" applyFont="1" applyFill="1" applyBorder="1" applyAlignment="1">
      <alignment horizontal="right" vertical="center"/>
    </xf>
    <xf numFmtId="165" fontId="24" fillId="5" borderId="18" xfId="8" applyNumberFormat="1" applyFont="1" applyFill="1" applyBorder="1" applyAlignment="1">
      <alignment horizontal="center" vertical="center"/>
    </xf>
    <xf numFmtId="0" fontId="23" fillId="0" borderId="4" xfId="0" applyFont="1" applyBorder="1" applyAlignment="1">
      <alignment horizontal="center" vertical="center"/>
    </xf>
    <xf numFmtId="0" fontId="23" fillId="2" borderId="4" xfId="0" applyFont="1" applyFill="1" applyBorder="1" applyAlignment="1">
      <alignment horizontal="center" vertical="center"/>
    </xf>
    <xf numFmtId="0" fontId="24" fillId="0" borderId="28" xfId="5" applyFont="1" applyBorder="1" applyAlignment="1">
      <alignment horizontal="center" vertical="center" wrapText="1"/>
    </xf>
    <xf numFmtId="0" fontId="23" fillId="0" borderId="1" xfId="5" applyFont="1" applyBorder="1" applyAlignment="1">
      <alignment horizontal="left" vertical="center" wrapText="1"/>
    </xf>
    <xf numFmtId="0" fontId="23" fillId="2" borderId="4" xfId="0" applyFont="1" applyFill="1" applyBorder="1" applyAlignment="1">
      <alignment vertical="center"/>
    </xf>
    <xf numFmtId="0" fontId="23" fillId="2" borderId="4" xfId="5" applyFont="1" applyFill="1" applyBorder="1" applyAlignment="1">
      <alignment vertical="center" wrapText="1"/>
    </xf>
    <xf numFmtId="0" fontId="24" fillId="4" borderId="4" xfId="5" applyFont="1" applyFill="1" applyBorder="1" applyAlignment="1">
      <alignment vertical="center" wrapText="1"/>
    </xf>
    <xf numFmtId="0" fontId="23" fillId="2" borderId="4" xfId="5" applyFont="1" applyFill="1" applyBorder="1" applyAlignment="1">
      <alignment horizontal="left" vertical="center" wrapText="1"/>
    </xf>
    <xf numFmtId="0" fontId="23" fillId="0" borderId="4" xfId="0" applyFont="1" applyBorder="1" applyAlignment="1">
      <alignment horizontal="left" vertical="center"/>
    </xf>
    <xf numFmtId="10" fontId="0" fillId="0" borderId="42" xfId="0" applyNumberFormat="1" applyFont="1" applyBorder="1" applyAlignment="1">
      <alignment horizontal="center" vertical="center"/>
    </xf>
    <xf numFmtId="0" fontId="23" fillId="0" borderId="4" xfId="0" applyFont="1" applyBorder="1" applyAlignment="1">
      <alignment horizontal="left" vertical="center" wrapText="1"/>
    </xf>
    <xf numFmtId="0" fontId="24" fillId="0" borderId="4" xfId="0" applyFont="1" applyBorder="1" applyAlignment="1">
      <alignment horizontal="left" vertical="center"/>
    </xf>
    <xf numFmtId="0" fontId="24" fillId="0" borderId="4" xfId="6" applyFont="1" applyFill="1" applyBorder="1" applyAlignment="1" applyProtection="1">
      <alignment horizontal="left" vertical="center"/>
    </xf>
    <xf numFmtId="0" fontId="2" fillId="4" borderId="28" xfId="5" applyFont="1" applyFill="1" applyBorder="1" applyAlignment="1">
      <alignment horizontal="center"/>
    </xf>
    <xf numFmtId="0" fontId="2" fillId="4" borderId="4" xfId="5" applyFont="1" applyFill="1" applyBorder="1" applyAlignment="1">
      <alignment vertical="center" wrapText="1"/>
    </xf>
    <xf numFmtId="0" fontId="23" fillId="2" borderId="28" xfId="5" applyFont="1" applyFill="1" applyBorder="1" applyAlignment="1">
      <alignment horizontal="center"/>
    </xf>
    <xf numFmtId="0" fontId="23" fillId="2" borderId="28" xfId="5" applyFont="1" applyFill="1" applyBorder="1" applyAlignment="1">
      <alignment horizontal="center" vertical="center" wrapText="1"/>
    </xf>
    <xf numFmtId="0" fontId="0" fillId="0" borderId="42" xfId="0" applyFont="1" applyBorder="1" applyAlignment="1">
      <alignment horizontal="left" vertical="center"/>
    </xf>
    <xf numFmtId="0" fontId="24" fillId="0" borderId="4" xfId="5" applyFont="1" applyBorder="1" applyAlignment="1">
      <alignment vertical="center" wrapText="1"/>
    </xf>
    <xf numFmtId="0" fontId="23" fillId="2" borderId="1" xfId="5" applyFont="1" applyFill="1" applyBorder="1" applyAlignment="1">
      <alignment vertical="center" wrapText="1"/>
    </xf>
    <xf numFmtId="0" fontId="23" fillId="0" borderId="1" xfId="5" applyFont="1" applyBorder="1" applyAlignment="1">
      <alignment vertical="center"/>
    </xf>
    <xf numFmtId="0" fontId="23" fillId="0" borderId="5" xfId="5" applyFont="1" applyBorder="1" applyAlignment="1">
      <alignment vertical="center" wrapText="1"/>
    </xf>
    <xf numFmtId="0" fontId="8" fillId="0" borderId="0" xfId="0" applyFont="1" applyAlignment="1">
      <alignment horizontal="justify"/>
    </xf>
    <xf numFmtId="0" fontId="7" fillId="0" borderId="0" xfId="0" applyFont="1" applyAlignment="1">
      <alignment horizontal="center"/>
    </xf>
    <xf numFmtId="0" fontId="0" fillId="0" borderId="13" xfId="0" applyBorder="1" applyAlignment="1">
      <alignment horizontal="center"/>
    </xf>
    <xf numFmtId="0" fontId="0" fillId="0" borderId="11"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17" xfId="0" applyBorder="1" applyAlignment="1">
      <alignment horizontal="center"/>
    </xf>
    <xf numFmtId="0" fontId="13" fillId="0" borderId="0" xfId="0" applyFont="1" applyAlignment="1">
      <alignment horizontal="justify" wrapText="1"/>
    </xf>
    <xf numFmtId="0" fontId="17" fillId="0" borderId="18" xfId="0" applyFont="1" applyBorder="1" applyAlignment="1">
      <alignment horizontal="center" vertical="center" wrapText="1"/>
    </xf>
    <xf numFmtId="0" fontId="25" fillId="9" borderId="13" xfId="0" quotePrefix="1" applyFont="1" applyFill="1" applyBorder="1" applyAlignment="1">
      <alignment horizontal="center" vertical="center"/>
    </xf>
    <xf numFmtId="0" fontId="25" fillId="9" borderId="11" xfId="0" quotePrefix="1" applyFont="1" applyFill="1" applyBorder="1" applyAlignment="1">
      <alignment horizontal="center" vertical="center"/>
    </xf>
    <xf numFmtId="0" fontId="25" fillId="9" borderId="14" xfId="0" quotePrefix="1" applyFont="1" applyFill="1" applyBorder="1" applyAlignment="1">
      <alignment horizontal="center" vertical="center"/>
    </xf>
    <xf numFmtId="0" fontId="23" fillId="2" borderId="13" xfId="0" applyFont="1" applyFill="1" applyBorder="1" applyAlignment="1">
      <alignment horizontal="center" vertical="center" wrapText="1"/>
    </xf>
    <xf numFmtId="0" fontId="23" fillId="2" borderId="14" xfId="0" applyFont="1" applyFill="1" applyBorder="1" applyAlignment="1">
      <alignment horizontal="center" vertical="center"/>
    </xf>
    <xf numFmtId="0" fontId="2" fillId="7" borderId="10" xfId="0" applyFont="1" applyFill="1" applyBorder="1" applyAlignment="1">
      <alignment horizontal="center" vertical="center"/>
    </xf>
    <xf numFmtId="0" fontId="2" fillId="7" borderId="44" xfId="0" applyFont="1" applyFill="1" applyBorder="1" applyAlignment="1">
      <alignment horizontal="center" vertical="center"/>
    </xf>
    <xf numFmtId="0" fontId="2" fillId="7" borderId="12" xfId="0" applyFont="1" applyFill="1" applyBorder="1" applyAlignment="1">
      <alignment horizontal="center" vertical="center"/>
    </xf>
    <xf numFmtId="0" fontId="23" fillId="0" borderId="20" xfId="0" applyFont="1" applyBorder="1" applyAlignment="1">
      <alignment horizontal="center" vertical="center"/>
    </xf>
    <xf numFmtId="0" fontId="23" fillId="0" borderId="41" xfId="0" applyFont="1" applyBorder="1" applyAlignment="1">
      <alignment horizontal="center" vertical="center"/>
    </xf>
    <xf numFmtId="0" fontId="23" fillId="0" borderId="19" xfId="0" applyFont="1" applyBorder="1" applyAlignment="1">
      <alignment horizontal="center" vertical="center"/>
    </xf>
    <xf numFmtId="0" fontId="24" fillId="9" borderId="20" xfId="0" applyFont="1" applyFill="1" applyBorder="1" applyAlignment="1">
      <alignment horizontal="center" vertical="center" wrapText="1"/>
    </xf>
    <xf numFmtId="0" fontId="24" fillId="9" borderId="19" xfId="0" applyFont="1" applyFill="1" applyBorder="1" applyAlignment="1">
      <alignment horizontal="center" vertical="center" wrapText="1"/>
    </xf>
    <xf numFmtId="165" fontId="23" fillId="2" borderId="15" xfId="0" applyNumberFormat="1" applyFont="1" applyFill="1" applyBorder="1" applyAlignment="1">
      <alignment horizontal="center" vertical="center" wrapText="1"/>
    </xf>
    <xf numFmtId="165" fontId="23" fillId="2" borderId="16" xfId="0" applyNumberFormat="1" applyFont="1" applyFill="1" applyBorder="1" applyAlignment="1">
      <alignment horizontal="center" vertical="center" wrapText="1"/>
    </xf>
    <xf numFmtId="165" fontId="23" fillId="2" borderId="17" xfId="0" applyNumberFormat="1" applyFont="1" applyFill="1" applyBorder="1" applyAlignment="1">
      <alignment horizontal="center" vertical="center" wrapText="1"/>
    </xf>
    <xf numFmtId="165" fontId="23" fillId="2" borderId="59" xfId="0" applyNumberFormat="1" applyFont="1" applyFill="1" applyBorder="1" applyAlignment="1">
      <alignment horizontal="center" vertical="center" wrapText="1"/>
    </xf>
    <xf numFmtId="165" fontId="23" fillId="2" borderId="0" xfId="0" applyNumberFormat="1" applyFont="1" applyFill="1" applyBorder="1" applyAlignment="1">
      <alignment horizontal="center" vertical="center" wrapText="1"/>
    </xf>
    <xf numFmtId="165" fontId="23" fillId="2" borderId="41" xfId="0" applyNumberFormat="1" applyFont="1" applyFill="1" applyBorder="1" applyAlignment="1">
      <alignment horizontal="center" vertical="center" wrapText="1"/>
    </xf>
    <xf numFmtId="0" fontId="24" fillId="7" borderId="13" xfId="0" applyFont="1" applyFill="1" applyBorder="1" applyAlignment="1">
      <alignment horizontal="center" vertical="center" wrapText="1"/>
    </xf>
    <xf numFmtId="0" fontId="24" fillId="7" borderId="11" xfId="0" applyFont="1" applyFill="1" applyBorder="1" applyAlignment="1">
      <alignment horizontal="center" vertical="center" wrapText="1"/>
    </xf>
    <xf numFmtId="0" fontId="24" fillId="7" borderId="14" xfId="0" applyFont="1" applyFill="1" applyBorder="1" applyAlignment="1">
      <alignment horizontal="center" vertical="center" wrapText="1"/>
    </xf>
    <xf numFmtId="0" fontId="23" fillId="0" borderId="4" xfId="0" applyFont="1" applyBorder="1" applyAlignment="1">
      <alignment horizontal="center" vertical="center" wrapText="1"/>
    </xf>
    <xf numFmtId="0" fontId="23" fillId="0" borderId="4" xfId="0" applyFont="1" applyBorder="1" applyAlignment="1">
      <alignment horizontal="center" vertical="center"/>
    </xf>
    <xf numFmtId="0" fontId="24" fillId="0" borderId="49" xfId="0" applyFont="1" applyBorder="1" applyAlignment="1">
      <alignment horizontal="right" vertical="center"/>
    </xf>
    <xf numFmtId="0" fontId="24" fillId="0" borderId="50" xfId="0" applyFont="1" applyBorder="1" applyAlignment="1">
      <alignment horizontal="right" vertical="center"/>
    </xf>
    <xf numFmtId="0" fontId="0" fillId="2" borderId="59" xfId="0" applyFill="1" applyBorder="1" applyAlignment="1">
      <alignment horizontal="center"/>
    </xf>
    <xf numFmtId="0" fontId="0" fillId="2" borderId="21" xfId="0" applyFill="1" applyBorder="1" applyAlignment="1">
      <alignment horizontal="center"/>
    </xf>
    <xf numFmtId="0" fontId="0" fillId="2" borderId="0" xfId="0" applyFill="1" applyBorder="1" applyAlignment="1">
      <alignment horizontal="center"/>
    </xf>
    <xf numFmtId="0" fontId="0" fillId="2" borderId="45" xfId="0" applyFill="1" applyBorder="1" applyAlignment="1">
      <alignment horizontal="center"/>
    </xf>
    <xf numFmtId="0" fontId="0" fillId="2" borderId="41" xfId="0" applyFill="1" applyBorder="1" applyAlignment="1">
      <alignment horizontal="center"/>
    </xf>
    <xf numFmtId="0" fontId="0" fillId="2" borderId="19" xfId="0" applyFill="1" applyBorder="1" applyAlignment="1">
      <alignment horizontal="center"/>
    </xf>
    <xf numFmtId="0" fontId="29" fillId="0" borderId="46" xfId="0" applyFont="1" applyBorder="1" applyAlignment="1">
      <alignment horizontal="center" vertical="center"/>
    </xf>
    <xf numFmtId="0" fontId="29" fillId="0" borderId="47" xfId="0" applyFont="1" applyBorder="1" applyAlignment="1">
      <alignment horizontal="center" vertical="center"/>
    </xf>
    <xf numFmtId="0" fontId="29" fillId="0" borderId="48" xfId="0" applyFont="1" applyBorder="1" applyAlignment="1">
      <alignment horizontal="center" vertical="center"/>
    </xf>
    <xf numFmtId="0" fontId="24" fillId="0" borderId="37" xfId="0" applyFont="1" applyBorder="1" applyAlignment="1">
      <alignment horizontal="center" vertical="center"/>
    </xf>
    <xf numFmtId="0" fontId="24" fillId="0" borderId="0" xfId="0" applyFont="1" applyBorder="1" applyAlignment="1">
      <alignment horizontal="center" vertical="center"/>
    </xf>
    <xf numFmtId="0" fontId="29" fillId="7" borderId="13" xfId="0" applyFont="1" applyFill="1" applyBorder="1" applyAlignment="1">
      <alignment horizontal="center" vertical="center" wrapText="1"/>
    </xf>
    <xf numFmtId="0" fontId="29" fillId="7" borderId="11" xfId="0" applyFont="1" applyFill="1" applyBorder="1" applyAlignment="1">
      <alignment horizontal="center" vertical="center" wrapText="1"/>
    </xf>
    <xf numFmtId="0" fontId="29" fillId="7" borderId="14" xfId="0" applyFont="1" applyFill="1" applyBorder="1" applyAlignment="1">
      <alignment horizontal="center" vertical="center" wrapText="1"/>
    </xf>
    <xf numFmtId="0" fontId="24" fillId="2" borderId="33" xfId="0" applyFont="1" applyFill="1" applyBorder="1" applyAlignment="1">
      <alignment horizontal="right" vertical="center"/>
    </xf>
    <xf numFmtId="0" fontId="24" fillId="2" borderId="34" xfId="0" applyFont="1" applyFill="1" applyBorder="1" applyAlignment="1">
      <alignment horizontal="right" vertical="center"/>
    </xf>
    <xf numFmtId="0" fontId="24" fillId="2" borderId="35" xfId="0" applyFont="1" applyFill="1" applyBorder="1" applyAlignment="1">
      <alignment horizontal="right" vertical="center"/>
    </xf>
    <xf numFmtId="0" fontId="24" fillId="2" borderId="13" xfId="0" applyFont="1" applyFill="1" applyBorder="1" applyAlignment="1">
      <alignment horizontal="center" vertical="center" wrapText="1"/>
    </xf>
    <xf numFmtId="0" fontId="24" fillId="2" borderId="11" xfId="0" applyFont="1" applyFill="1" applyBorder="1" applyAlignment="1">
      <alignment horizontal="center" vertical="center" wrapText="1"/>
    </xf>
    <xf numFmtId="0" fontId="24" fillId="2" borderId="14" xfId="0" applyFont="1" applyFill="1" applyBorder="1" applyAlignment="1">
      <alignment horizontal="center" vertical="center" wrapText="1"/>
    </xf>
    <xf numFmtId="0" fontId="24" fillId="2" borderId="46" xfId="0" applyFont="1" applyFill="1" applyBorder="1" applyAlignment="1">
      <alignment horizontal="center" vertical="center"/>
    </xf>
    <xf numFmtId="0" fontId="24" fillId="2" borderId="47" xfId="0" applyFont="1" applyFill="1" applyBorder="1" applyAlignment="1">
      <alignment horizontal="center" vertical="center"/>
    </xf>
    <xf numFmtId="0" fontId="24" fillId="2" borderId="48" xfId="0" applyFont="1" applyFill="1" applyBorder="1" applyAlignment="1">
      <alignment horizontal="center" vertical="center"/>
    </xf>
    <xf numFmtId="0" fontId="23" fillId="2" borderId="4" xfId="0" applyFont="1" applyFill="1" applyBorder="1" applyAlignment="1">
      <alignment horizontal="center" vertical="center" wrapText="1"/>
    </xf>
    <xf numFmtId="0" fontId="23" fillId="2" borderId="4" xfId="0" applyFont="1" applyFill="1" applyBorder="1" applyAlignment="1">
      <alignment horizontal="center" vertical="center"/>
    </xf>
    <xf numFmtId="0" fontId="24" fillId="2" borderId="49" xfId="0" applyFont="1" applyFill="1" applyBorder="1" applyAlignment="1">
      <alignment horizontal="right" vertical="center"/>
    </xf>
    <xf numFmtId="0" fontId="24" fillId="2" borderId="50" xfId="0" applyFont="1" applyFill="1" applyBorder="1" applyAlignment="1">
      <alignment horizontal="right" vertical="center"/>
    </xf>
    <xf numFmtId="0" fontId="24" fillId="2" borderId="38" xfId="0" applyFont="1" applyFill="1" applyBorder="1" applyAlignment="1">
      <alignment horizontal="center" vertical="center"/>
    </xf>
    <xf numFmtId="0" fontId="24" fillId="2" borderId="39" xfId="0" applyFont="1" applyFill="1" applyBorder="1" applyAlignment="1">
      <alignment horizontal="center" vertical="center"/>
    </xf>
    <xf numFmtId="0" fontId="24" fillId="2" borderId="40" xfId="0" applyFont="1" applyFill="1" applyBorder="1" applyAlignment="1">
      <alignment horizontal="center" vertical="center"/>
    </xf>
    <xf numFmtId="0" fontId="29" fillId="2" borderId="38" xfId="0" applyFont="1" applyFill="1" applyBorder="1" applyAlignment="1">
      <alignment horizontal="center" vertical="center"/>
    </xf>
    <xf numFmtId="0" fontId="29" fillId="2" borderId="39" xfId="0" applyFont="1" applyFill="1" applyBorder="1" applyAlignment="1">
      <alignment horizontal="center" vertical="center"/>
    </xf>
    <xf numFmtId="0" fontId="29" fillId="2" borderId="40" xfId="0" applyFont="1" applyFill="1" applyBorder="1" applyAlignment="1">
      <alignment horizontal="center" vertical="center"/>
    </xf>
    <xf numFmtId="0" fontId="29" fillId="2" borderId="46" xfId="0" applyFont="1" applyFill="1" applyBorder="1" applyAlignment="1">
      <alignment horizontal="center" vertical="center"/>
    </xf>
    <xf numFmtId="0" fontId="29" fillId="2" borderId="47" xfId="0" applyFont="1" applyFill="1" applyBorder="1" applyAlignment="1">
      <alignment horizontal="center" vertical="center"/>
    </xf>
    <xf numFmtId="0" fontId="29" fillId="2" borderId="48" xfId="0" applyFont="1" applyFill="1" applyBorder="1" applyAlignment="1">
      <alignment horizontal="center" vertical="center"/>
    </xf>
    <xf numFmtId="0" fontId="23" fillId="2" borderId="1" xfId="0" applyFont="1" applyFill="1" applyBorder="1" applyAlignment="1">
      <alignment horizontal="center" vertical="center" wrapText="1"/>
    </xf>
    <xf numFmtId="0" fontId="23" fillId="2" borderId="3" xfId="0" applyFont="1" applyFill="1" applyBorder="1" applyAlignment="1">
      <alignment horizontal="center" vertical="center" wrapText="1"/>
    </xf>
    <xf numFmtId="0" fontId="23" fillId="2" borderId="0" xfId="0" applyFont="1" applyFill="1" applyBorder="1" applyAlignment="1">
      <alignment horizontal="center" vertical="center"/>
    </xf>
    <xf numFmtId="0" fontId="23" fillId="2" borderId="45" xfId="0" applyFont="1" applyFill="1" applyBorder="1" applyAlignment="1">
      <alignment horizontal="center" vertical="center"/>
    </xf>
    <xf numFmtId="0" fontId="24" fillId="0" borderId="61" xfId="0" applyFont="1" applyBorder="1" applyAlignment="1">
      <alignment horizontal="left" vertical="center"/>
    </xf>
    <xf numFmtId="0" fontId="24" fillId="0" borderId="14" xfId="0" applyFont="1" applyBorder="1" applyAlignment="1">
      <alignment horizontal="left" vertical="center"/>
    </xf>
    <xf numFmtId="0" fontId="24" fillId="4" borderId="25" xfId="5" applyFont="1" applyFill="1" applyBorder="1" applyAlignment="1">
      <alignment horizontal="center" vertical="center" wrapText="1"/>
    </xf>
    <xf numFmtId="0" fontId="24" fillId="4" borderId="2" xfId="5" applyFont="1" applyFill="1" applyBorder="1" applyAlignment="1">
      <alignment horizontal="center" vertical="center" wrapText="1"/>
    </xf>
    <xf numFmtId="0" fontId="24" fillId="4" borderId="3" xfId="5" applyFont="1" applyFill="1" applyBorder="1" applyAlignment="1">
      <alignment horizontal="center" vertical="center" wrapText="1"/>
    </xf>
    <xf numFmtId="0" fontId="24" fillId="6" borderId="23" xfId="5" applyFont="1" applyFill="1" applyBorder="1" applyAlignment="1">
      <alignment horizontal="center" vertical="center" wrapText="1"/>
    </xf>
    <xf numFmtId="0" fontId="24" fillId="6" borderId="7" xfId="5" applyFont="1" applyFill="1" applyBorder="1" applyAlignment="1">
      <alignment horizontal="center" vertical="center" wrapText="1"/>
    </xf>
    <xf numFmtId="0" fontId="24" fillId="6" borderId="8" xfId="5" applyFont="1" applyFill="1" applyBorder="1" applyAlignment="1">
      <alignment horizontal="center" vertical="center" wrapText="1"/>
    </xf>
    <xf numFmtId="0" fontId="24" fillId="8" borderId="25" xfId="5" applyFont="1" applyFill="1" applyBorder="1" applyAlignment="1">
      <alignment horizontal="center" vertical="center"/>
    </xf>
    <xf numFmtId="0" fontId="24" fillId="8" borderId="2" xfId="5" applyFont="1" applyFill="1" applyBorder="1" applyAlignment="1">
      <alignment horizontal="center" vertical="center"/>
    </xf>
    <xf numFmtId="0" fontId="24" fillId="8" borderId="27" xfId="5" applyFont="1" applyFill="1" applyBorder="1" applyAlignment="1">
      <alignment horizontal="center" vertical="center"/>
    </xf>
    <xf numFmtId="0" fontId="24" fillId="6" borderId="25" xfId="5" applyFont="1" applyFill="1" applyBorder="1" applyAlignment="1">
      <alignment horizontal="center" vertical="center" wrapText="1"/>
    </xf>
    <xf numFmtId="0" fontId="24" fillId="6" borderId="2" xfId="5" applyFont="1" applyFill="1" applyBorder="1" applyAlignment="1">
      <alignment horizontal="center" vertical="center" wrapText="1"/>
    </xf>
    <xf numFmtId="0" fontId="24" fillId="6" borderId="3" xfId="5" applyFont="1" applyFill="1" applyBorder="1" applyAlignment="1">
      <alignment horizontal="center" vertical="center" wrapText="1"/>
    </xf>
    <xf numFmtId="0" fontId="24" fillId="4" borderId="25" xfId="5" applyFont="1" applyFill="1" applyBorder="1" applyAlignment="1">
      <alignment horizontal="center" vertical="center"/>
    </xf>
    <xf numFmtId="0" fontId="24" fillId="4" borderId="2" xfId="5" applyFont="1" applyFill="1" applyBorder="1" applyAlignment="1">
      <alignment horizontal="center" vertical="center"/>
    </xf>
    <xf numFmtId="0" fontId="24" fillId="4" borderId="27" xfId="5" applyFont="1" applyFill="1" applyBorder="1" applyAlignment="1">
      <alignment horizontal="center" vertical="center"/>
    </xf>
    <xf numFmtId="0" fontId="24" fillId="5" borderId="25" xfId="5" applyFont="1" applyFill="1" applyBorder="1" applyAlignment="1">
      <alignment horizontal="center" vertical="center" wrapText="1"/>
    </xf>
    <xf numFmtId="0" fontId="24" fillId="5" borderId="2" xfId="5" applyFont="1" applyFill="1" applyBorder="1" applyAlignment="1">
      <alignment horizontal="center" vertical="center" wrapText="1"/>
    </xf>
    <xf numFmtId="0" fontId="24" fillId="5" borderId="3" xfId="5" applyFont="1" applyFill="1" applyBorder="1" applyAlignment="1">
      <alignment horizontal="center" vertical="center" wrapText="1"/>
    </xf>
    <xf numFmtId="0" fontId="24" fillId="6" borderId="46" xfId="0" applyFont="1" applyFill="1" applyBorder="1" applyAlignment="1">
      <alignment horizontal="center" vertical="center"/>
    </xf>
    <xf numFmtId="0" fontId="24" fillId="6" borderId="47" xfId="0" applyFont="1" applyFill="1" applyBorder="1" applyAlignment="1">
      <alignment horizontal="center" vertical="center"/>
    </xf>
    <xf numFmtId="0" fontId="24" fillId="6" borderId="48" xfId="0" applyFont="1" applyFill="1" applyBorder="1" applyAlignment="1">
      <alignment horizontal="center" vertical="center"/>
    </xf>
    <xf numFmtId="0" fontId="23" fillId="2" borderId="1" xfId="3" applyFont="1" applyFill="1" applyBorder="1" applyAlignment="1">
      <alignment horizontal="center" vertical="center" wrapText="1"/>
    </xf>
    <xf numFmtId="0" fontId="23" fillId="2" borderId="2" xfId="3" applyFont="1" applyFill="1" applyBorder="1" applyAlignment="1">
      <alignment horizontal="center" vertical="center" wrapText="1"/>
    </xf>
    <xf numFmtId="0" fontId="23" fillId="2" borderId="27" xfId="3" applyFont="1" applyFill="1" applyBorder="1" applyAlignment="1">
      <alignment horizontal="center" vertical="center" wrapText="1"/>
    </xf>
    <xf numFmtId="0" fontId="20" fillId="0" borderId="0" xfId="0" applyFont="1" applyAlignment="1">
      <alignment horizontal="center" vertical="center"/>
    </xf>
    <xf numFmtId="0" fontId="24" fillId="0" borderId="28" xfId="5" applyFont="1" applyBorder="1" applyAlignment="1">
      <alignment horizontal="center" vertical="center" wrapText="1"/>
    </xf>
    <xf numFmtId="0" fontId="24" fillId="0" borderId="32" xfId="5" applyFont="1" applyBorder="1" applyAlignment="1">
      <alignment horizontal="center" vertical="center" wrapText="1"/>
    </xf>
    <xf numFmtId="0" fontId="24" fillId="5" borderId="38" xfId="5" applyFont="1" applyFill="1" applyBorder="1" applyAlignment="1">
      <alignment horizontal="center" vertical="center" wrapText="1"/>
    </xf>
    <xf numFmtId="0" fontId="24" fillId="5" borderId="39" xfId="5" applyFont="1" applyFill="1" applyBorder="1" applyAlignment="1">
      <alignment horizontal="center" vertical="center" wrapText="1"/>
    </xf>
    <xf numFmtId="0" fontId="24" fillId="5" borderId="43" xfId="5" applyFont="1" applyFill="1" applyBorder="1" applyAlignment="1">
      <alignment horizontal="center" vertical="center" wrapText="1"/>
    </xf>
    <xf numFmtId="0" fontId="24" fillId="3" borderId="25" xfId="5" applyFont="1" applyFill="1" applyBorder="1" applyAlignment="1">
      <alignment horizontal="center" vertical="center" wrapText="1"/>
    </xf>
    <xf numFmtId="0" fontId="24" fillId="3" borderId="2" xfId="5" applyFont="1" applyFill="1" applyBorder="1" applyAlignment="1">
      <alignment horizontal="center" vertical="center" wrapText="1"/>
    </xf>
    <xf numFmtId="0" fontId="24" fillId="3" borderId="3" xfId="5" applyFont="1" applyFill="1" applyBorder="1" applyAlignment="1">
      <alignment horizontal="center" vertical="center" wrapText="1"/>
    </xf>
    <xf numFmtId="0" fontId="23" fillId="0" borderId="1" xfId="5" applyFont="1" applyBorder="1" applyAlignment="1">
      <alignment horizontal="left" vertical="center" wrapText="1"/>
    </xf>
    <xf numFmtId="0" fontId="23" fillId="0" borderId="2" xfId="5" applyFont="1" applyBorder="1" applyAlignment="1">
      <alignment horizontal="left" vertical="center" wrapText="1"/>
    </xf>
    <xf numFmtId="0" fontId="23" fillId="0" borderId="3" xfId="5" applyFont="1" applyBorder="1" applyAlignment="1">
      <alignment horizontal="left" vertical="center" wrapText="1"/>
    </xf>
    <xf numFmtId="0" fontId="24" fillId="0" borderId="25" xfId="5" applyFont="1" applyBorder="1" applyAlignment="1">
      <alignment horizontal="center" vertical="center" wrapText="1"/>
    </xf>
    <xf numFmtId="0" fontId="24" fillId="0" borderId="2" xfId="5" applyFont="1" applyBorder="1" applyAlignment="1">
      <alignment horizontal="center" vertical="center" wrapText="1"/>
    </xf>
    <xf numFmtId="0" fontId="24" fillId="0" borderId="3" xfId="5" applyFont="1" applyBorder="1" applyAlignment="1">
      <alignment horizontal="center" vertical="center" wrapText="1"/>
    </xf>
    <xf numFmtId="0" fontId="24" fillId="5" borderId="33" xfId="5" applyFont="1" applyFill="1" applyBorder="1" applyAlignment="1">
      <alignment horizontal="center" vertical="center" wrapText="1"/>
    </xf>
    <xf numFmtId="0" fontId="24" fillId="5" borderId="34" xfId="5" applyFont="1" applyFill="1" applyBorder="1" applyAlignment="1">
      <alignment horizontal="center" vertical="center" wrapText="1"/>
    </xf>
    <xf numFmtId="0" fontId="24" fillId="5" borderId="35" xfId="5" applyFont="1" applyFill="1" applyBorder="1" applyAlignment="1">
      <alignment horizontal="center" vertical="center" wrapText="1"/>
    </xf>
    <xf numFmtId="164" fontId="26" fillId="2" borderId="1" xfId="2" applyNumberFormat="1" applyFont="1" applyFill="1" applyBorder="1" applyAlignment="1">
      <alignment horizontal="justify" vertical="center"/>
    </xf>
    <xf numFmtId="164" fontId="26" fillId="2" borderId="3" xfId="2" applyNumberFormat="1" applyFont="1" applyFill="1" applyBorder="1" applyAlignment="1">
      <alignment horizontal="justify" vertical="center"/>
    </xf>
    <xf numFmtId="164" fontId="24" fillId="2" borderId="1" xfId="2" applyNumberFormat="1" applyFont="1" applyFill="1" applyBorder="1" applyAlignment="1">
      <alignment horizontal="justify" vertical="center"/>
    </xf>
    <xf numFmtId="164" fontId="24" fillId="2" borderId="3" xfId="2" applyNumberFormat="1" applyFont="1" applyFill="1" applyBorder="1" applyAlignment="1">
      <alignment horizontal="justify" vertical="center"/>
    </xf>
    <xf numFmtId="0" fontId="24" fillId="2" borderId="1" xfId="5" applyFont="1" applyFill="1" applyBorder="1" applyAlignment="1">
      <alignment horizontal="left" vertical="center" wrapText="1"/>
    </xf>
    <xf numFmtId="0" fontId="24" fillId="2" borderId="2" xfId="5" applyFont="1" applyFill="1" applyBorder="1" applyAlignment="1">
      <alignment horizontal="left" vertical="center" wrapText="1"/>
    </xf>
    <xf numFmtId="0" fontId="24" fillId="2" borderId="3" xfId="5" applyFont="1" applyFill="1" applyBorder="1" applyAlignment="1">
      <alignment horizontal="left" vertical="center" wrapText="1"/>
    </xf>
    <xf numFmtId="0" fontId="24" fillId="2" borderId="23" xfId="3" applyFont="1" applyFill="1" applyBorder="1" applyAlignment="1">
      <alignment horizontal="center" vertical="center"/>
    </xf>
    <xf numFmtId="0" fontId="24" fillId="2" borderId="7" xfId="3" applyFont="1" applyFill="1" applyBorder="1" applyAlignment="1">
      <alignment horizontal="center" vertical="center"/>
    </xf>
    <xf numFmtId="0" fontId="24" fillId="2" borderId="31" xfId="3" applyFont="1" applyFill="1" applyBorder="1" applyAlignment="1">
      <alignment horizontal="center" vertical="center"/>
    </xf>
    <xf numFmtId="0" fontId="24" fillId="4" borderId="20" xfId="3" applyFont="1" applyFill="1" applyBorder="1" applyAlignment="1">
      <alignment horizontal="center" vertical="center" wrapText="1"/>
    </xf>
    <xf numFmtId="0" fontId="24" fillId="4" borderId="41" xfId="3" applyFont="1" applyFill="1" applyBorder="1" applyAlignment="1">
      <alignment horizontal="center" vertical="center" wrapText="1"/>
    </xf>
    <xf numFmtId="0" fontId="24" fillId="4" borderId="19" xfId="3" applyFont="1" applyFill="1" applyBorder="1" applyAlignment="1">
      <alignment horizontal="center" vertical="center" wrapText="1"/>
    </xf>
    <xf numFmtId="0" fontId="24" fillId="2" borderId="1" xfId="3" applyFont="1" applyFill="1" applyBorder="1" applyAlignment="1">
      <alignment horizontal="center" vertical="center" wrapText="1"/>
    </xf>
    <xf numFmtId="0" fontId="24" fillId="2" borderId="2" xfId="3" applyFont="1" applyFill="1" applyBorder="1" applyAlignment="1">
      <alignment horizontal="center" vertical="center" wrapText="1"/>
    </xf>
    <xf numFmtId="0" fontId="24" fillId="2" borderId="27" xfId="3" applyFont="1" applyFill="1" applyBorder="1" applyAlignment="1">
      <alignment horizontal="center" vertical="center" wrapText="1"/>
    </xf>
    <xf numFmtId="0" fontId="24" fillId="2" borderId="38" xfId="3" applyFont="1" applyFill="1" applyBorder="1" applyAlignment="1">
      <alignment horizontal="center" vertical="center"/>
    </xf>
    <xf numFmtId="0" fontId="24" fillId="2" borderId="39" xfId="3" applyFont="1" applyFill="1" applyBorder="1" applyAlignment="1">
      <alignment horizontal="center" vertical="center"/>
    </xf>
    <xf numFmtId="0" fontId="24" fillId="2" borderId="40" xfId="3" applyFont="1" applyFill="1" applyBorder="1" applyAlignment="1">
      <alignment horizontal="center" vertical="center"/>
    </xf>
    <xf numFmtId="0" fontId="24" fillId="2" borderId="25" xfId="3" applyFont="1" applyFill="1" applyBorder="1" applyAlignment="1">
      <alignment horizontal="center" vertical="center"/>
    </xf>
    <xf numFmtId="0" fontId="24" fillId="2" borderId="2" xfId="3" applyFont="1" applyFill="1" applyBorder="1" applyAlignment="1">
      <alignment horizontal="center" vertical="center"/>
    </xf>
    <xf numFmtId="0" fontId="24" fillId="2" borderId="27" xfId="3" applyFont="1" applyFill="1" applyBorder="1" applyAlignment="1">
      <alignment horizontal="center" vertical="center"/>
    </xf>
    <xf numFmtId="0" fontId="24" fillId="2" borderId="29" xfId="3" applyFont="1" applyFill="1" applyBorder="1" applyAlignment="1">
      <alignment horizontal="center" vertical="center"/>
    </xf>
    <xf numFmtId="0" fontId="24" fillId="2" borderId="6" xfId="3" applyFont="1" applyFill="1" applyBorder="1" applyAlignment="1">
      <alignment horizontal="center" vertical="center"/>
    </xf>
    <xf numFmtId="0" fontId="24" fillId="2" borderId="30" xfId="3" applyFont="1" applyFill="1" applyBorder="1" applyAlignment="1">
      <alignment horizontal="center" vertical="center"/>
    </xf>
    <xf numFmtId="0" fontId="23" fillId="2" borderId="1" xfId="4" applyFont="1" applyFill="1" applyBorder="1" applyAlignment="1">
      <alignment horizontal="center" vertical="center" wrapText="1"/>
    </xf>
    <xf numFmtId="0" fontId="23" fillId="2" borderId="2" xfId="4" applyFont="1" applyFill="1" applyBorder="1" applyAlignment="1">
      <alignment horizontal="center" vertical="center" wrapText="1"/>
    </xf>
    <xf numFmtId="0" fontId="23" fillId="2" borderId="27" xfId="4" applyFont="1" applyFill="1" applyBorder="1" applyAlignment="1">
      <alignment horizontal="center" vertical="center" wrapText="1"/>
    </xf>
    <xf numFmtId="0" fontId="23" fillId="2" borderId="1" xfId="0" applyFont="1" applyFill="1" applyBorder="1" applyAlignment="1">
      <alignment horizontal="justify" vertical="center"/>
    </xf>
    <xf numFmtId="0" fontId="23" fillId="2" borderId="3" xfId="0" applyFont="1" applyFill="1" applyBorder="1" applyAlignment="1">
      <alignment horizontal="justify" vertical="center"/>
    </xf>
    <xf numFmtId="0" fontId="24" fillId="2" borderId="25" xfId="5" applyFont="1" applyFill="1" applyBorder="1" applyAlignment="1">
      <alignment horizontal="center" vertical="center" wrapText="1"/>
    </xf>
    <xf numFmtId="0" fontId="24" fillId="2" borderId="2" xfId="5" applyFont="1" applyFill="1" applyBorder="1" applyAlignment="1">
      <alignment horizontal="center" vertical="center" wrapText="1"/>
    </xf>
    <xf numFmtId="0" fontId="24" fillId="2" borderId="3" xfId="5" applyFont="1" applyFill="1" applyBorder="1" applyAlignment="1">
      <alignment horizontal="center" vertical="center" wrapText="1"/>
    </xf>
    <xf numFmtId="0" fontId="24" fillId="2" borderId="1" xfId="0" applyFont="1" applyFill="1" applyBorder="1" applyAlignment="1">
      <alignment horizontal="center" vertical="center"/>
    </xf>
    <xf numFmtId="0" fontId="24" fillId="2" borderId="2" xfId="0" applyFont="1" applyFill="1" applyBorder="1" applyAlignment="1">
      <alignment horizontal="center" vertical="center"/>
    </xf>
    <xf numFmtId="0" fontId="24" fillId="2" borderId="27" xfId="0" applyFont="1" applyFill="1" applyBorder="1" applyAlignment="1">
      <alignment horizontal="center" vertical="center"/>
    </xf>
    <xf numFmtId="165" fontId="24" fillId="2" borderId="1" xfId="1" applyNumberFormat="1" applyFont="1" applyFill="1" applyBorder="1" applyAlignment="1">
      <alignment horizontal="center" vertical="center" wrapText="1"/>
    </xf>
    <xf numFmtId="165" fontId="24" fillId="2" borderId="2" xfId="1" applyNumberFormat="1" applyFont="1" applyFill="1" applyBorder="1" applyAlignment="1">
      <alignment horizontal="center" vertical="center" wrapText="1"/>
    </xf>
    <xf numFmtId="165" fontId="24" fillId="2" borderId="27" xfId="1" applyNumberFormat="1" applyFont="1" applyFill="1" applyBorder="1" applyAlignment="1">
      <alignment horizontal="center" vertical="center" wrapText="1"/>
    </xf>
    <xf numFmtId="0" fontId="24" fillId="2" borderId="25" xfId="5" applyFont="1" applyFill="1" applyBorder="1" applyAlignment="1">
      <alignment horizontal="center" vertical="center"/>
    </xf>
    <xf numFmtId="0" fontId="24" fillId="2" borderId="2" xfId="5" applyFont="1" applyFill="1" applyBorder="1" applyAlignment="1">
      <alignment horizontal="center" vertical="center"/>
    </xf>
    <xf numFmtId="0" fontId="24" fillId="2" borderId="27" xfId="5" applyFont="1" applyFill="1" applyBorder="1" applyAlignment="1">
      <alignment horizontal="center" vertical="center"/>
    </xf>
    <xf numFmtId="164" fontId="24" fillId="2" borderId="1" xfId="2" applyNumberFormat="1" applyFont="1" applyFill="1" applyBorder="1" applyAlignment="1">
      <alignment horizontal="center" vertical="center"/>
    </xf>
    <xf numFmtId="164" fontId="24" fillId="2" borderId="3" xfId="2" applyNumberFormat="1" applyFont="1" applyFill="1" applyBorder="1" applyAlignment="1">
      <alignment horizontal="center" vertical="center"/>
    </xf>
    <xf numFmtId="0" fontId="31" fillId="2" borderId="25" xfId="5" applyFont="1" applyFill="1" applyBorder="1" applyAlignment="1">
      <alignment horizontal="center" vertical="center" wrapText="1"/>
    </xf>
    <xf numFmtId="0" fontId="31" fillId="2" borderId="2" xfId="5" applyFont="1" applyFill="1" applyBorder="1" applyAlignment="1">
      <alignment horizontal="center" vertical="center" wrapText="1"/>
    </xf>
    <xf numFmtId="0" fontId="31" fillId="2" borderId="27" xfId="5" applyFont="1" applyFill="1" applyBorder="1" applyAlignment="1">
      <alignment horizontal="center" vertical="center" wrapText="1"/>
    </xf>
    <xf numFmtId="0" fontId="24" fillId="0" borderId="1" xfId="5" applyFont="1" applyBorder="1" applyAlignment="1">
      <alignment horizontal="left" vertical="center" wrapText="1"/>
    </xf>
    <xf numFmtId="0" fontId="24" fillId="0" borderId="3" xfId="5" applyFont="1" applyBorder="1" applyAlignment="1">
      <alignment horizontal="left" vertical="center" wrapText="1"/>
    </xf>
    <xf numFmtId="0" fontId="24" fillId="7" borderId="46" xfId="8" applyFont="1" applyFill="1" applyBorder="1" applyAlignment="1">
      <alignment horizontal="center" vertical="center" wrapText="1"/>
    </xf>
    <xf numFmtId="0" fontId="24" fillId="7" borderId="47" xfId="8" applyFont="1" applyFill="1" applyBorder="1" applyAlignment="1">
      <alignment horizontal="center" vertical="center" wrapText="1"/>
    </xf>
    <xf numFmtId="0" fontId="24" fillId="7" borderId="48" xfId="8" applyFont="1" applyFill="1" applyBorder="1" applyAlignment="1">
      <alignment horizontal="center" vertical="center" wrapText="1"/>
    </xf>
    <xf numFmtId="0" fontId="36" fillId="5" borderId="32" xfId="8" applyFont="1" applyFill="1" applyBorder="1" applyAlignment="1">
      <alignment horizontal="center" vertical="top"/>
    </xf>
    <xf numFmtId="0" fontId="36" fillId="5" borderId="9" xfId="8" applyFont="1" applyFill="1" applyBorder="1" applyAlignment="1">
      <alignment horizontal="center" vertical="top"/>
    </xf>
    <xf numFmtId="0" fontId="36" fillId="5" borderId="5" xfId="8" applyFont="1" applyFill="1" applyBorder="1" applyAlignment="1">
      <alignment horizontal="center" vertical="top"/>
    </xf>
    <xf numFmtId="0" fontId="36" fillId="5" borderId="49" xfId="8" applyFont="1" applyFill="1" applyBorder="1" applyAlignment="1">
      <alignment horizontal="center" vertical="top"/>
    </xf>
    <xf numFmtId="0" fontId="36" fillId="5" borderId="50" xfId="8" applyFont="1" applyFill="1" applyBorder="1" applyAlignment="1">
      <alignment horizontal="center" vertical="top"/>
    </xf>
    <xf numFmtId="0" fontId="36" fillId="5" borderId="52" xfId="8" applyFont="1" applyFill="1" applyBorder="1" applyAlignment="1">
      <alignment horizontal="center" vertical="top"/>
    </xf>
    <xf numFmtId="1" fontId="36" fillId="5" borderId="29" xfId="8" applyNumberFormat="1" applyFont="1" applyFill="1" applyBorder="1" applyAlignment="1">
      <alignment horizontal="center" vertical="center" shrinkToFit="1"/>
    </xf>
    <xf numFmtId="1" fontId="36" fillId="5" borderId="6" xfId="8" applyNumberFormat="1" applyFont="1" applyFill="1" applyBorder="1" applyAlignment="1">
      <alignment horizontal="center" vertical="center" shrinkToFit="1"/>
    </xf>
    <xf numFmtId="0" fontId="36" fillId="2" borderId="13" xfId="8" applyFont="1" applyFill="1" applyBorder="1" applyAlignment="1">
      <alignment horizontal="center" vertical="top"/>
    </xf>
    <xf numFmtId="0" fontId="36" fillId="2" borderId="11" xfId="8" applyFont="1" applyFill="1" applyBorder="1" applyAlignment="1">
      <alignment horizontal="center" vertical="top"/>
    </xf>
    <xf numFmtId="0" fontId="36" fillId="2" borderId="14" xfId="8" applyFont="1" applyFill="1" applyBorder="1" applyAlignment="1">
      <alignment horizontal="center" vertical="top"/>
    </xf>
    <xf numFmtId="1" fontId="36" fillId="2" borderId="13" xfId="8" applyNumberFormat="1" applyFont="1" applyFill="1" applyBorder="1" applyAlignment="1">
      <alignment horizontal="center" vertical="center" shrinkToFit="1"/>
    </xf>
    <xf numFmtId="1" fontId="36" fillId="2" borderId="11" xfId="8" applyNumberFormat="1" applyFont="1" applyFill="1" applyBorder="1" applyAlignment="1">
      <alignment horizontal="center" vertical="center" shrinkToFit="1"/>
    </xf>
    <xf numFmtId="1" fontId="36" fillId="2" borderId="14" xfId="8" applyNumberFormat="1" applyFont="1" applyFill="1" applyBorder="1" applyAlignment="1">
      <alignment horizontal="center" vertical="center" shrinkToFit="1"/>
    </xf>
    <xf numFmtId="169" fontId="33" fillId="5" borderId="25" xfId="8" applyNumberFormat="1" applyFont="1" applyFill="1" applyBorder="1" applyAlignment="1">
      <alignment horizontal="center" vertical="center" shrinkToFit="1"/>
    </xf>
    <xf numFmtId="169" fontId="33" fillId="5" borderId="2" xfId="8" applyNumberFormat="1" applyFont="1" applyFill="1" applyBorder="1" applyAlignment="1">
      <alignment horizontal="center" vertical="center" shrinkToFit="1"/>
    </xf>
    <xf numFmtId="169" fontId="33" fillId="5" borderId="3" xfId="8" applyNumberFormat="1" applyFont="1" applyFill="1" applyBorder="1" applyAlignment="1">
      <alignment horizontal="center" vertical="center" shrinkToFit="1"/>
    </xf>
    <xf numFmtId="0" fontId="33" fillId="0" borderId="49" xfId="11" applyFont="1" applyBorder="1" applyAlignment="1">
      <alignment horizontal="center" vertical="center" wrapText="1"/>
    </xf>
    <xf numFmtId="0" fontId="33" fillId="0" borderId="50" xfId="11" applyFont="1" applyBorder="1" applyAlignment="1">
      <alignment horizontal="center" vertical="center" wrapText="1"/>
    </xf>
    <xf numFmtId="0" fontId="33" fillId="0" borderId="36" xfId="11" applyFont="1" applyBorder="1" applyAlignment="1">
      <alignment horizontal="center" vertical="center" wrapText="1"/>
    </xf>
    <xf numFmtId="0" fontId="33" fillId="0" borderId="28" xfId="11" applyFont="1" applyBorder="1" applyAlignment="1">
      <alignment horizontal="center" vertical="center" wrapText="1"/>
    </xf>
    <xf numFmtId="0" fontId="33" fillId="0" borderId="4" xfId="11" applyFont="1" applyBorder="1" applyAlignment="1">
      <alignment horizontal="center" vertical="center" wrapText="1"/>
    </xf>
    <xf numFmtId="0" fontId="33" fillId="0" borderId="26" xfId="11" applyFont="1" applyBorder="1" applyAlignment="1">
      <alignment horizontal="center" vertical="center" wrapText="1"/>
    </xf>
    <xf numFmtId="0" fontId="36" fillId="7" borderId="38" xfId="8" applyFont="1" applyFill="1" applyBorder="1" applyAlignment="1">
      <alignment horizontal="center" vertical="top"/>
    </xf>
    <xf numFmtId="0" fontId="36" fillId="7" borderId="39" xfId="8" applyFont="1" applyFill="1" applyBorder="1" applyAlignment="1">
      <alignment horizontal="center" vertical="top"/>
    </xf>
    <xf numFmtId="0" fontId="36" fillId="7" borderId="40" xfId="8" applyFont="1" applyFill="1" applyBorder="1" applyAlignment="1">
      <alignment horizontal="center" vertical="top"/>
    </xf>
    <xf numFmtId="0" fontId="36" fillId="5" borderId="33" xfId="8" applyFont="1" applyFill="1" applyBorder="1" applyAlignment="1">
      <alignment horizontal="center" vertical="top"/>
    </xf>
    <xf numFmtId="0" fontId="36" fillId="5" borderId="34" xfId="8" applyFont="1" applyFill="1" applyBorder="1" applyAlignment="1">
      <alignment horizontal="center" vertical="top"/>
    </xf>
    <xf numFmtId="0" fontId="36" fillId="5" borderId="41" xfId="8" applyFont="1" applyFill="1" applyBorder="1" applyAlignment="1">
      <alignment horizontal="center" vertical="top"/>
    </xf>
    <xf numFmtId="0" fontId="36" fillId="0" borderId="53" xfId="11" applyFont="1" applyBorder="1" applyAlignment="1">
      <alignment horizontal="center" vertical="top"/>
    </xf>
    <xf numFmtId="0" fontId="36" fillId="0" borderId="54" xfId="11" applyFont="1" applyBorder="1" applyAlignment="1">
      <alignment horizontal="center" vertical="top"/>
    </xf>
    <xf numFmtId="0" fontId="36" fillId="0" borderId="55" xfId="11" applyFont="1" applyBorder="1" applyAlignment="1">
      <alignment horizontal="center" vertical="top"/>
    </xf>
    <xf numFmtId="0" fontId="36" fillId="5" borderId="38" xfId="8" applyFont="1" applyFill="1" applyBorder="1" applyAlignment="1">
      <alignment horizontal="center" vertical="top"/>
    </xf>
    <xf numFmtId="0" fontId="36" fillId="5" borderId="39" xfId="8" applyFont="1" applyFill="1" applyBorder="1" applyAlignment="1">
      <alignment horizontal="center" vertical="top"/>
    </xf>
    <xf numFmtId="0" fontId="36" fillId="5" borderId="60" xfId="8" applyFont="1" applyFill="1" applyBorder="1" applyAlignment="1">
      <alignment horizontal="center" vertical="top"/>
    </xf>
    <xf numFmtId="0" fontId="36" fillId="0" borderId="10" xfId="11" applyFont="1" applyBorder="1" applyAlignment="1">
      <alignment horizontal="center" vertical="top"/>
    </xf>
    <xf numFmtId="0" fontId="36" fillId="0" borderId="44" xfId="11" applyFont="1" applyBorder="1" applyAlignment="1">
      <alignment horizontal="center" vertical="top"/>
    </xf>
    <xf numFmtId="0" fontId="36" fillId="0" borderId="12" xfId="11" applyFont="1" applyBorder="1" applyAlignment="1">
      <alignment horizontal="center" vertical="top"/>
    </xf>
    <xf numFmtId="0" fontId="33" fillId="0" borderId="56" xfId="11" applyFont="1" applyBorder="1" applyAlignment="1">
      <alignment horizontal="center" vertical="top" wrapText="1"/>
    </xf>
    <xf numFmtId="0" fontId="33" fillId="0" borderId="57" xfId="11" applyFont="1" applyBorder="1" applyAlignment="1">
      <alignment horizontal="center" vertical="top" wrapText="1"/>
    </xf>
    <xf numFmtId="0" fontId="33" fillId="0" borderId="58" xfId="11" applyFont="1" applyBorder="1" applyAlignment="1">
      <alignment horizontal="center" vertical="top" wrapText="1"/>
    </xf>
  </cellXfs>
  <cellStyles count="12">
    <cellStyle name="Hiperlink" xfId="6" builtinId="8"/>
    <cellStyle name="Moeda" xfId="1" builtinId="4"/>
    <cellStyle name="Moeda 2" xfId="9"/>
    <cellStyle name="Normal" xfId="0" builtinId="0"/>
    <cellStyle name="Normal 2" xfId="5"/>
    <cellStyle name="Normal 3" xfId="8"/>
    <cellStyle name="Normal 4" xfId="3"/>
    <cellStyle name="Normal 5" xfId="4"/>
    <cellStyle name="Normal 6" xfId="11"/>
    <cellStyle name="Porcentagem" xfId="2" builtinId="5"/>
    <cellStyle name="Vírgula" xfId="7" builtinId="3"/>
    <cellStyle name="Vírgula 2" xfId="10"/>
  </cellStyles>
  <dxfs count="6">
    <dxf>
      <font>
        <b/>
        <i val="0"/>
        <strike val="0"/>
        <condense val="0"/>
        <extend val="0"/>
        <outline val="0"/>
        <shadow val="0"/>
        <u val="none"/>
        <vertAlign val="baseline"/>
        <sz val="14"/>
        <color indexed="10"/>
        <name val="Trebuchet MS"/>
        <scheme val="none"/>
      </font>
      <fill>
        <patternFill patternType="none">
          <fgColor indexed="64"/>
          <bgColor indexed="65"/>
        </patternFill>
      </fill>
      <alignment horizontal="justify" vertical="center" textRotation="0" wrapText="1" indent="0" justifyLastLine="0" shrinkToFit="0" readingOrder="0"/>
      <border diagonalUp="0" diagonalDown="0">
        <left style="medium">
          <color indexed="64"/>
        </left>
        <right/>
        <top style="medium">
          <color indexed="64"/>
        </top>
        <bottom style="medium">
          <color indexed="64"/>
        </bottom>
        <vertical/>
        <horizontal/>
      </border>
    </dxf>
    <dxf>
      <font>
        <b/>
        <i val="0"/>
        <strike val="0"/>
        <condense val="0"/>
        <extend val="0"/>
        <outline val="0"/>
        <shadow val="0"/>
        <u val="none"/>
        <vertAlign val="baseline"/>
        <sz val="14"/>
        <color indexed="10"/>
        <name val="Trebuchet MS"/>
        <scheme val="none"/>
      </font>
      <fill>
        <patternFill patternType="none">
          <fgColor indexed="64"/>
          <bgColor indexed="65"/>
        </patternFill>
      </fill>
      <alignment horizontal="justify" vertical="center" textRotation="0" wrapText="1" indent="0" justifyLastLine="0" shrinkToFit="0" readingOrder="0"/>
      <border diagonalUp="0" diagonalDown="0">
        <left/>
        <right style="medium">
          <color indexed="64"/>
        </right>
        <top style="medium">
          <color indexed="64"/>
        </top>
        <bottom style="medium">
          <color indexed="64"/>
        </bottom>
        <vertical/>
        <horizontal/>
      </border>
    </dxf>
    <dxf>
      <border outline="0">
        <top style="medium">
          <color indexed="64"/>
        </top>
      </border>
    </dxf>
    <dxf>
      <border outline="0">
        <left style="medium">
          <color indexed="64"/>
        </left>
        <right style="medium">
          <color indexed="64"/>
        </right>
        <top style="medium">
          <color indexed="64"/>
        </top>
        <bottom style="medium">
          <color indexed="64"/>
        </bottom>
      </border>
    </dxf>
    <dxf>
      <border outline="0">
        <bottom style="medium">
          <color indexed="64"/>
        </bottom>
      </border>
    </dxf>
    <dxf>
      <font>
        <b/>
        <i val="0"/>
        <strike val="0"/>
        <condense val="0"/>
        <extend val="0"/>
        <outline val="0"/>
        <shadow val="0"/>
        <u val="none"/>
        <vertAlign val="baseline"/>
        <sz val="14"/>
        <color indexed="10"/>
        <name val="Trebuchet MS"/>
        <scheme val="none"/>
      </font>
      <fill>
        <patternFill patternType="none">
          <fgColor indexed="64"/>
          <bgColor indexed="65"/>
        </patternFill>
      </fill>
      <alignment horizontal="justify" vertical="center" textRotation="0" wrapText="1" indent="0" justifyLastLine="0" shrinkToFit="0" readingOrder="0"/>
      <border diagonalUp="0" diagonalDown="0" outline="0">
        <left style="medium">
          <color indexed="64"/>
        </left>
        <right style="medium">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tables/table1.xml><?xml version="1.0" encoding="utf-8"?>
<table xmlns="http://schemas.openxmlformats.org/spreadsheetml/2006/main" id="1" name="Tabela2" displayName="Tabela2" ref="A3:B22" totalsRowShown="0" headerRowDxfId="5" headerRowBorderDxfId="4" tableBorderDxfId="3" totalsRowBorderDxfId="2">
  <autoFilter ref="A3:B22"/>
  <tableColumns count="2">
    <tableColumn id="1" name="Colunas1" dataDxfId="1"/>
    <tableColumn id="2" name="Colunas2" dataDxfId="0"/>
  </tableColumns>
  <tableStyleInfo name="TableStyleLight5" showFirstColumn="0" showLastColumn="0" showRowStripes="1" showColumnStripes="0"/>
</table>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bin"/><Relationship Id="rId1" Type="http://schemas.openxmlformats.org/officeDocument/2006/relationships/hyperlink" Target="../../../../../../../../../../../../../../../../../../AppData/Local/Temp/17%20Instrucao%20Normativa%2002_2008%20Servicos%20Continuados/0%20LEGISLACAO%20GERAL/IN%2003_2005%20MSP_SRP/AnexoII_IN03.rtf" TargetMode="Externa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4.bin"/><Relationship Id="rId1" Type="http://schemas.openxmlformats.org/officeDocument/2006/relationships/hyperlink" Target="../../../../../../../../../../../../../../../../../../AppData/Local/Temp/17%20Instrucao%20Normativa%2002_2008%20Servicos%20Continuados/0%20LEGISLACAO%20GERAL/IN%2003_2005%20MSP_SRP/AnexoII_IN03.rtf" TargetMode="Externa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5.bin"/><Relationship Id="rId1" Type="http://schemas.openxmlformats.org/officeDocument/2006/relationships/hyperlink" Target="../../../../../../../../../../../../../../../../../../AppData/Local/Temp/17%20Instrucao%20Normativa%2002_2008%20Servicos%20Continuados/0%20LEGISLACAO%20GERAL/IN%2003_2005%20MSP_SRP/AnexoII_IN03.rtf"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topLeftCell="B1" zoomScale="145" zoomScaleNormal="145" workbookViewId="0">
      <selection activeCell="E8" sqref="E8"/>
    </sheetView>
  </sheetViews>
  <sheetFormatPr defaultRowHeight="15" x14ac:dyDescent="0.25"/>
  <cols>
    <col min="1" max="1" width="33.85546875" customWidth="1"/>
    <col min="2" max="2" width="15.42578125" customWidth="1"/>
    <col min="3" max="3" width="19.28515625" customWidth="1"/>
    <col min="5" max="5" width="59" customWidth="1"/>
  </cols>
  <sheetData>
    <row r="1" spans="1:5" ht="22.5" x14ac:dyDescent="0.25">
      <c r="E1" s="1" t="s">
        <v>52</v>
      </c>
    </row>
    <row r="2" spans="1:5" ht="21" x14ac:dyDescent="0.35">
      <c r="A2" s="292" t="s">
        <v>53</v>
      </c>
      <c r="B2" s="292"/>
      <c r="C2" s="292"/>
      <c r="E2" s="2" t="s">
        <v>54</v>
      </c>
    </row>
    <row r="3" spans="1:5" ht="174" customHeight="1" x14ac:dyDescent="0.3">
      <c r="A3" s="291" t="s">
        <v>55</v>
      </c>
      <c r="B3" s="291"/>
      <c r="C3" s="291"/>
      <c r="E3" s="4" t="s">
        <v>56</v>
      </c>
    </row>
    <row r="4" spans="1:5" ht="18.75" customHeight="1" thickBot="1" x14ac:dyDescent="0.35">
      <c r="A4" s="5"/>
      <c r="E4" s="6"/>
    </row>
    <row r="5" spans="1:5" ht="15.75" customHeight="1" thickBot="1" x14ac:dyDescent="0.3">
      <c r="A5" s="293" t="s">
        <v>57</v>
      </c>
      <c r="B5" s="294"/>
      <c r="C5" s="295"/>
      <c r="E5" s="7" t="s">
        <v>58</v>
      </c>
    </row>
    <row r="6" spans="1:5" ht="22.5" x14ac:dyDescent="0.25">
      <c r="A6" s="296" t="s">
        <v>59</v>
      </c>
      <c r="B6" s="296" t="s">
        <v>60</v>
      </c>
      <c r="C6" s="8" t="s">
        <v>61</v>
      </c>
      <c r="E6" s="7" t="s">
        <v>62</v>
      </c>
    </row>
    <row r="7" spans="1:5" ht="15.75" customHeight="1" thickBot="1" x14ac:dyDescent="0.3">
      <c r="A7" s="297"/>
      <c r="B7" s="297"/>
      <c r="C7" s="9" t="s">
        <v>63</v>
      </c>
      <c r="E7" s="7" t="s">
        <v>64</v>
      </c>
    </row>
    <row r="8" spans="1:5" ht="15.75" thickBot="1" x14ac:dyDescent="0.3">
      <c r="A8" s="10" t="s">
        <v>65</v>
      </c>
      <c r="B8" s="8">
        <v>30</v>
      </c>
      <c r="C8" s="8">
        <v>7</v>
      </c>
      <c r="D8">
        <f>(7/30)/12</f>
        <v>1.94444444444444E-2</v>
      </c>
      <c r="E8" s="11" t="s">
        <v>66</v>
      </c>
    </row>
    <row r="9" spans="1:5" ht="13.5" customHeight="1" x14ac:dyDescent="0.25">
      <c r="A9" s="12" t="s">
        <v>67</v>
      </c>
      <c r="B9" s="13">
        <v>33</v>
      </c>
      <c r="C9" s="13">
        <v>8</v>
      </c>
      <c r="D9">
        <f>(3/30)/12</f>
        <v>8.3333333333333297E-3</v>
      </c>
    </row>
    <row r="10" spans="1:5" ht="13.5" customHeight="1" x14ac:dyDescent="0.25">
      <c r="A10" s="12" t="s">
        <v>68</v>
      </c>
      <c r="B10" s="13">
        <v>36</v>
      </c>
      <c r="C10" s="13">
        <v>8</v>
      </c>
      <c r="D10">
        <f t="shared" ref="D10:D13" si="0">(3/30)/12</f>
        <v>8.3333333333333297E-3</v>
      </c>
    </row>
    <row r="11" spans="1:5" ht="13.5" customHeight="1" x14ac:dyDescent="0.25">
      <c r="A11" s="12" t="s">
        <v>69</v>
      </c>
      <c r="B11" s="13">
        <v>39</v>
      </c>
      <c r="C11" s="13">
        <v>9</v>
      </c>
      <c r="D11">
        <f t="shared" si="0"/>
        <v>8.3333333333333297E-3</v>
      </c>
    </row>
    <row r="12" spans="1:5" ht="13.5" customHeight="1" x14ac:dyDescent="0.25">
      <c r="A12" s="14" t="s">
        <v>70</v>
      </c>
      <c r="B12" s="15">
        <v>42</v>
      </c>
      <c r="C12" s="15">
        <v>10</v>
      </c>
      <c r="D12">
        <f t="shared" si="0"/>
        <v>8.3333333333333297E-3</v>
      </c>
    </row>
    <row r="13" spans="1:5" ht="13.5" customHeight="1" x14ac:dyDescent="0.25">
      <c r="A13" s="12" t="s">
        <v>71</v>
      </c>
      <c r="B13" s="13">
        <v>45</v>
      </c>
      <c r="C13" s="13">
        <v>11</v>
      </c>
      <c r="D13">
        <f t="shared" si="0"/>
        <v>8.3333333333333297E-3</v>
      </c>
      <c r="E13" t="s">
        <v>93</v>
      </c>
    </row>
    <row r="14" spans="1:5" x14ac:dyDescent="0.25">
      <c r="A14" s="12" t="s">
        <v>72</v>
      </c>
      <c r="B14" s="13">
        <v>48</v>
      </c>
      <c r="C14" s="13">
        <v>11</v>
      </c>
      <c r="E14" t="s">
        <v>51</v>
      </c>
    </row>
    <row r="15" spans="1:5" x14ac:dyDescent="0.25">
      <c r="A15" s="12" t="s">
        <v>73</v>
      </c>
      <c r="B15" s="13">
        <v>51</v>
      </c>
      <c r="C15" s="13">
        <v>12</v>
      </c>
    </row>
    <row r="16" spans="1:5" x14ac:dyDescent="0.25">
      <c r="A16" s="12" t="s">
        <v>74</v>
      </c>
      <c r="B16" s="13">
        <v>54</v>
      </c>
      <c r="C16" s="13">
        <v>13</v>
      </c>
    </row>
    <row r="17" spans="1:5" x14ac:dyDescent="0.25">
      <c r="A17" s="12" t="s">
        <v>75</v>
      </c>
      <c r="B17" s="13">
        <v>57</v>
      </c>
      <c r="C17" s="13">
        <v>13</v>
      </c>
    </row>
    <row r="18" spans="1:5" x14ac:dyDescent="0.25">
      <c r="A18" s="12" t="s">
        <v>76</v>
      </c>
      <c r="B18" s="13">
        <v>60</v>
      </c>
      <c r="C18" s="13">
        <v>14</v>
      </c>
    </row>
    <row r="19" spans="1:5" x14ac:dyDescent="0.25">
      <c r="A19" s="12" t="s">
        <v>77</v>
      </c>
      <c r="B19" s="13">
        <v>63</v>
      </c>
      <c r="C19" s="13">
        <v>15</v>
      </c>
    </row>
    <row r="20" spans="1:5" x14ac:dyDescent="0.25">
      <c r="A20" s="12" t="s">
        <v>78</v>
      </c>
      <c r="B20" s="13">
        <v>66</v>
      </c>
      <c r="C20" s="13">
        <v>15</v>
      </c>
    </row>
    <row r="21" spans="1:5" x14ac:dyDescent="0.25">
      <c r="A21" s="12" t="s">
        <v>79</v>
      </c>
      <c r="B21" s="13">
        <v>69</v>
      </c>
      <c r="C21" s="13">
        <v>16</v>
      </c>
    </row>
    <row r="22" spans="1:5" x14ac:dyDescent="0.25">
      <c r="A22" s="12" t="s">
        <v>80</v>
      </c>
      <c r="B22" s="13">
        <v>72</v>
      </c>
      <c r="C22" s="13">
        <v>17</v>
      </c>
    </row>
    <row r="23" spans="1:5" x14ac:dyDescent="0.25">
      <c r="A23" s="12" t="s">
        <v>81</v>
      </c>
      <c r="B23" s="13">
        <v>75</v>
      </c>
      <c r="C23" s="13">
        <v>18</v>
      </c>
    </row>
    <row r="24" spans="1:5" x14ac:dyDescent="0.25">
      <c r="A24" s="12" t="s">
        <v>82</v>
      </c>
      <c r="B24" s="13">
        <v>78</v>
      </c>
      <c r="C24" s="13">
        <v>18</v>
      </c>
    </row>
    <row r="25" spans="1:5" x14ac:dyDescent="0.25">
      <c r="A25" s="12" t="s">
        <v>83</v>
      </c>
      <c r="B25" s="13">
        <v>81</v>
      </c>
      <c r="C25" s="13">
        <v>19</v>
      </c>
    </row>
    <row r="26" spans="1:5" x14ac:dyDescent="0.25">
      <c r="A26" s="12" t="s">
        <v>84</v>
      </c>
      <c r="B26" s="13">
        <v>84</v>
      </c>
      <c r="C26" s="13">
        <v>20</v>
      </c>
    </row>
    <row r="27" spans="1:5" x14ac:dyDescent="0.25">
      <c r="A27" s="12" t="s">
        <v>85</v>
      </c>
      <c r="B27" s="13">
        <v>87</v>
      </c>
      <c r="C27" s="13">
        <v>20</v>
      </c>
    </row>
    <row r="28" spans="1:5" ht="15.75" thickBot="1" x14ac:dyDescent="0.3">
      <c r="A28" s="16" t="s">
        <v>86</v>
      </c>
      <c r="B28" s="9">
        <v>90</v>
      </c>
      <c r="C28" s="9">
        <v>21</v>
      </c>
      <c r="E28" s="17" t="s">
        <v>87</v>
      </c>
    </row>
    <row r="29" spans="1:5" ht="18.75" x14ac:dyDescent="0.3">
      <c r="A29" s="5"/>
    </row>
    <row r="30" spans="1:5" ht="145.5" customHeight="1" x14ac:dyDescent="0.3">
      <c r="A30" s="298" t="s">
        <v>88</v>
      </c>
      <c r="B30" s="298"/>
      <c r="C30" s="298"/>
    </row>
    <row r="31" spans="1:5" ht="18.75" x14ac:dyDescent="0.3">
      <c r="A31" s="5"/>
    </row>
    <row r="32" spans="1:5" ht="18.75" x14ac:dyDescent="0.3">
      <c r="A32" s="18" t="s">
        <v>89</v>
      </c>
    </row>
    <row r="33" spans="1:3" ht="18.75" x14ac:dyDescent="0.3">
      <c r="A33" s="5"/>
    </row>
    <row r="34" spans="1:3" x14ac:dyDescent="0.25">
      <c r="A34" s="291" t="s">
        <v>90</v>
      </c>
      <c r="B34" s="291"/>
      <c r="C34" s="291"/>
    </row>
    <row r="35" spans="1:3" x14ac:dyDescent="0.25">
      <c r="A35" s="291"/>
      <c r="B35" s="291"/>
      <c r="C35" s="291"/>
    </row>
    <row r="36" spans="1:3" x14ac:dyDescent="0.25">
      <c r="A36" s="291" t="s">
        <v>91</v>
      </c>
      <c r="B36" s="291"/>
      <c r="C36" s="291"/>
    </row>
    <row r="37" spans="1:3" x14ac:dyDescent="0.25">
      <c r="A37" s="291"/>
      <c r="B37" s="291"/>
      <c r="C37" s="291"/>
    </row>
    <row r="40" spans="1:3" x14ac:dyDescent="0.25">
      <c r="A40" s="19" t="s">
        <v>92</v>
      </c>
    </row>
  </sheetData>
  <mergeCells count="8">
    <mergeCell ref="A34:C35"/>
    <mergeCell ref="A36:C37"/>
    <mergeCell ref="A2:C2"/>
    <mergeCell ref="A3:C3"/>
    <mergeCell ref="A5:C5"/>
    <mergeCell ref="A6:A7"/>
    <mergeCell ref="B6:B7"/>
    <mergeCell ref="A30:C30"/>
  </mergeCells>
  <hyperlinks>
    <hyperlink ref="E28" location="'ADAPTAÇÃO A IN 06_13'!B77" display="VOLTAR PLANILHA PRINCIPAL"/>
  </hyperlink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view="pageBreakPreview" zoomScaleNormal="100" zoomScaleSheetLayoutView="100" workbookViewId="0">
      <selection activeCell="A2" sqref="A2"/>
    </sheetView>
  </sheetViews>
  <sheetFormatPr defaultRowHeight="12.75" x14ac:dyDescent="0.25"/>
  <cols>
    <col min="1" max="1" width="8.7109375" style="158" customWidth="1"/>
    <col min="2" max="2" width="90.7109375" style="158" customWidth="1"/>
    <col min="3" max="9" width="15.7109375" style="158" customWidth="1"/>
    <col min="10" max="16384" width="9.140625" style="158"/>
  </cols>
  <sheetData>
    <row r="1" spans="1:9" ht="15" customHeight="1" x14ac:dyDescent="0.25">
      <c r="A1" s="459" t="s">
        <v>311</v>
      </c>
      <c r="B1" s="460"/>
      <c r="C1" s="460"/>
      <c r="D1" s="460"/>
      <c r="E1" s="460"/>
      <c r="F1" s="460"/>
      <c r="G1" s="460"/>
      <c r="H1" s="460"/>
      <c r="I1" s="461"/>
    </row>
    <row r="2" spans="1:9" ht="30" customHeight="1" x14ac:dyDescent="0.25">
      <c r="A2" s="165" t="s">
        <v>271</v>
      </c>
      <c r="B2" s="159" t="s">
        <v>272</v>
      </c>
      <c r="C2" s="159" t="s">
        <v>185</v>
      </c>
      <c r="D2" s="159" t="s">
        <v>186</v>
      </c>
      <c r="E2" s="159" t="s">
        <v>187</v>
      </c>
      <c r="F2" s="159" t="s">
        <v>245</v>
      </c>
      <c r="G2" s="154" t="s">
        <v>188</v>
      </c>
      <c r="H2" s="154" t="s">
        <v>205</v>
      </c>
      <c r="I2" s="164" t="s">
        <v>206</v>
      </c>
    </row>
    <row r="3" spans="1:9" ht="45" customHeight="1" x14ac:dyDescent="0.25">
      <c r="A3" s="178">
        <v>1</v>
      </c>
      <c r="B3" s="179" t="s">
        <v>337</v>
      </c>
      <c r="C3" s="175" t="s">
        <v>185</v>
      </c>
      <c r="D3" s="180">
        <v>30</v>
      </c>
      <c r="E3" s="175" t="s">
        <v>192</v>
      </c>
      <c r="F3" s="175">
        <v>60</v>
      </c>
      <c r="G3" s="181">
        <v>18.600000000000001</v>
      </c>
      <c r="H3" s="177">
        <f t="shared" ref="H3:H20" si="0">G3*D3</f>
        <v>558</v>
      </c>
      <c r="I3" s="185">
        <f t="shared" ref="I3:I32" si="1">H3/F3</f>
        <v>9.3000000000000007</v>
      </c>
    </row>
    <row r="4" spans="1:9" ht="30" customHeight="1" x14ac:dyDescent="0.25">
      <c r="A4" s="178">
        <v>2</v>
      </c>
      <c r="B4" s="179" t="s">
        <v>404</v>
      </c>
      <c r="C4" s="175" t="s">
        <v>185</v>
      </c>
      <c r="D4" s="183">
        <v>30</v>
      </c>
      <c r="E4" s="175" t="s">
        <v>192</v>
      </c>
      <c r="F4" s="175">
        <v>60</v>
      </c>
      <c r="G4" s="177">
        <v>20.65</v>
      </c>
      <c r="H4" s="177">
        <f t="shared" si="0"/>
        <v>619.5</v>
      </c>
      <c r="I4" s="185">
        <f t="shared" si="1"/>
        <v>10.33</v>
      </c>
    </row>
    <row r="5" spans="1:9" ht="30" customHeight="1" x14ac:dyDescent="0.25">
      <c r="A5" s="178">
        <v>3</v>
      </c>
      <c r="B5" s="179" t="s">
        <v>338</v>
      </c>
      <c r="C5" s="175" t="s">
        <v>185</v>
      </c>
      <c r="D5" s="180">
        <v>30</v>
      </c>
      <c r="E5" s="175" t="s">
        <v>192</v>
      </c>
      <c r="F5" s="175">
        <v>60</v>
      </c>
      <c r="G5" s="181">
        <v>20.65</v>
      </c>
      <c r="H5" s="177">
        <f t="shared" si="0"/>
        <v>619.5</v>
      </c>
      <c r="I5" s="185">
        <f t="shared" si="1"/>
        <v>10.33</v>
      </c>
    </row>
    <row r="6" spans="1:9" ht="75" customHeight="1" x14ac:dyDescent="0.25">
      <c r="A6" s="178">
        <v>4</v>
      </c>
      <c r="B6" s="179" t="s">
        <v>312</v>
      </c>
      <c r="C6" s="175" t="s">
        <v>185</v>
      </c>
      <c r="D6" s="183">
        <v>15</v>
      </c>
      <c r="E6" s="175" t="s">
        <v>192</v>
      </c>
      <c r="F6" s="175">
        <v>60</v>
      </c>
      <c r="G6" s="181">
        <v>23.99</v>
      </c>
      <c r="H6" s="177">
        <f t="shared" si="0"/>
        <v>359.85</v>
      </c>
      <c r="I6" s="185">
        <f t="shared" si="1"/>
        <v>6</v>
      </c>
    </row>
    <row r="7" spans="1:9" ht="30" customHeight="1" x14ac:dyDescent="0.25">
      <c r="A7" s="178">
        <v>5</v>
      </c>
      <c r="B7" s="179" t="s">
        <v>339</v>
      </c>
      <c r="C7" s="175" t="s">
        <v>185</v>
      </c>
      <c r="D7" s="180">
        <v>70</v>
      </c>
      <c r="E7" s="175" t="s">
        <v>192</v>
      </c>
      <c r="F7" s="175">
        <v>60</v>
      </c>
      <c r="G7" s="181">
        <v>20.65</v>
      </c>
      <c r="H7" s="177">
        <f t="shared" si="0"/>
        <v>1445.5</v>
      </c>
      <c r="I7" s="185">
        <f t="shared" si="1"/>
        <v>24.09</v>
      </c>
    </row>
    <row r="8" spans="1:9" ht="60" customHeight="1" x14ac:dyDescent="0.25">
      <c r="A8" s="178">
        <v>6</v>
      </c>
      <c r="B8" s="189" t="s">
        <v>313</v>
      </c>
      <c r="C8" s="175" t="s">
        <v>185</v>
      </c>
      <c r="D8" s="183">
        <v>50</v>
      </c>
      <c r="E8" s="175" t="s">
        <v>192</v>
      </c>
      <c r="F8" s="175">
        <v>60</v>
      </c>
      <c r="G8" s="177">
        <v>38.299999999999997</v>
      </c>
      <c r="H8" s="177">
        <f t="shared" si="0"/>
        <v>1915</v>
      </c>
      <c r="I8" s="185">
        <f t="shared" si="1"/>
        <v>31.92</v>
      </c>
    </row>
    <row r="9" spans="1:9" ht="60" customHeight="1" x14ac:dyDescent="0.25">
      <c r="A9" s="178">
        <v>7</v>
      </c>
      <c r="B9" s="179" t="s">
        <v>345</v>
      </c>
      <c r="C9" s="175" t="s">
        <v>185</v>
      </c>
      <c r="D9" s="180">
        <v>40</v>
      </c>
      <c r="E9" s="175" t="s">
        <v>192</v>
      </c>
      <c r="F9" s="175">
        <v>60</v>
      </c>
      <c r="G9" s="181">
        <v>72.88</v>
      </c>
      <c r="H9" s="177">
        <f t="shared" si="0"/>
        <v>2915.2</v>
      </c>
      <c r="I9" s="185">
        <f t="shared" si="1"/>
        <v>48.59</v>
      </c>
    </row>
    <row r="10" spans="1:9" ht="80.099999999999994" customHeight="1" x14ac:dyDescent="0.25">
      <c r="A10" s="184">
        <v>8</v>
      </c>
      <c r="B10" s="179" t="s">
        <v>314</v>
      </c>
      <c r="C10" s="175" t="s">
        <v>185</v>
      </c>
      <c r="D10" s="190">
        <v>5</v>
      </c>
      <c r="E10" s="175" t="s">
        <v>192</v>
      </c>
      <c r="F10" s="175">
        <v>60</v>
      </c>
      <c r="G10" s="181">
        <v>1115.75</v>
      </c>
      <c r="H10" s="177">
        <f t="shared" si="0"/>
        <v>5578.75</v>
      </c>
      <c r="I10" s="185">
        <f t="shared" si="1"/>
        <v>92.98</v>
      </c>
    </row>
    <row r="11" spans="1:9" ht="15" customHeight="1" x14ac:dyDescent="0.25">
      <c r="A11" s="184">
        <v>9</v>
      </c>
      <c r="B11" s="179" t="s">
        <v>315</v>
      </c>
      <c r="C11" s="175" t="s">
        <v>185</v>
      </c>
      <c r="D11" s="176">
        <v>1</v>
      </c>
      <c r="E11" s="175" t="s">
        <v>254</v>
      </c>
      <c r="F11" s="175">
        <v>60</v>
      </c>
      <c r="G11" s="177">
        <v>148.02000000000001</v>
      </c>
      <c r="H11" s="177">
        <f t="shared" si="0"/>
        <v>148.02000000000001</v>
      </c>
      <c r="I11" s="185">
        <f t="shared" si="1"/>
        <v>2.4700000000000002</v>
      </c>
    </row>
    <row r="12" spans="1:9" ht="15" customHeight="1" x14ac:dyDescent="0.25">
      <c r="A12" s="188">
        <v>10</v>
      </c>
      <c r="B12" s="179" t="s">
        <v>316</v>
      </c>
      <c r="C12" s="175" t="s">
        <v>185</v>
      </c>
      <c r="D12" s="176">
        <v>1</v>
      </c>
      <c r="E12" s="175" t="s">
        <v>192</v>
      </c>
      <c r="F12" s="175">
        <v>60</v>
      </c>
      <c r="G12" s="177">
        <v>406.5</v>
      </c>
      <c r="H12" s="177">
        <f t="shared" si="0"/>
        <v>406.5</v>
      </c>
      <c r="I12" s="185">
        <f t="shared" si="1"/>
        <v>6.78</v>
      </c>
    </row>
    <row r="13" spans="1:9" ht="15" customHeight="1" x14ac:dyDescent="0.25">
      <c r="A13" s="193">
        <v>11</v>
      </c>
      <c r="B13" s="194" t="s">
        <v>317</v>
      </c>
      <c r="C13" s="195" t="s">
        <v>185</v>
      </c>
      <c r="D13" s="196">
        <v>1</v>
      </c>
      <c r="E13" s="195" t="s">
        <v>192</v>
      </c>
      <c r="F13" s="195">
        <v>60</v>
      </c>
      <c r="G13" s="197">
        <v>203.58</v>
      </c>
      <c r="H13" s="197">
        <f t="shared" si="0"/>
        <v>203.58</v>
      </c>
      <c r="I13" s="198">
        <f t="shared" si="1"/>
        <v>3.39</v>
      </c>
    </row>
    <row r="14" spans="1:9" ht="15" customHeight="1" x14ac:dyDescent="0.25">
      <c r="A14" s="193">
        <v>12</v>
      </c>
      <c r="B14" s="194" t="s">
        <v>318</v>
      </c>
      <c r="C14" s="195" t="s">
        <v>185</v>
      </c>
      <c r="D14" s="196">
        <v>2</v>
      </c>
      <c r="E14" s="195" t="s">
        <v>192</v>
      </c>
      <c r="F14" s="195">
        <v>60</v>
      </c>
      <c r="G14" s="197">
        <v>249.79</v>
      </c>
      <c r="H14" s="197">
        <f t="shared" si="0"/>
        <v>499.58</v>
      </c>
      <c r="I14" s="198">
        <f t="shared" si="1"/>
        <v>8.33</v>
      </c>
    </row>
    <row r="15" spans="1:9" ht="15" customHeight="1" x14ac:dyDescent="0.25">
      <c r="A15" s="193">
        <v>13</v>
      </c>
      <c r="B15" s="194" t="s">
        <v>319</v>
      </c>
      <c r="C15" s="195" t="s">
        <v>185</v>
      </c>
      <c r="D15" s="196">
        <v>2</v>
      </c>
      <c r="E15" s="195" t="s">
        <v>192</v>
      </c>
      <c r="F15" s="195">
        <v>60</v>
      </c>
      <c r="G15" s="197">
        <v>470</v>
      </c>
      <c r="H15" s="197">
        <f t="shared" si="0"/>
        <v>940</v>
      </c>
      <c r="I15" s="198">
        <f t="shared" si="1"/>
        <v>15.67</v>
      </c>
    </row>
    <row r="16" spans="1:9" ht="15" customHeight="1" x14ac:dyDescent="0.25">
      <c r="A16" s="188">
        <v>14</v>
      </c>
      <c r="B16" s="179" t="s">
        <v>320</v>
      </c>
      <c r="C16" s="175" t="s">
        <v>185</v>
      </c>
      <c r="D16" s="176">
        <v>1</v>
      </c>
      <c r="E16" s="175" t="s">
        <v>192</v>
      </c>
      <c r="F16" s="175">
        <v>60</v>
      </c>
      <c r="G16" s="177">
        <v>30.9</v>
      </c>
      <c r="H16" s="177">
        <f t="shared" si="0"/>
        <v>30.9</v>
      </c>
      <c r="I16" s="185">
        <f t="shared" si="1"/>
        <v>0.52</v>
      </c>
    </row>
    <row r="17" spans="1:9" ht="15" customHeight="1" x14ac:dyDescent="0.25">
      <c r="A17" s="188">
        <v>15</v>
      </c>
      <c r="B17" s="179" t="s">
        <v>321</v>
      </c>
      <c r="C17" s="175" t="s">
        <v>185</v>
      </c>
      <c r="D17" s="176">
        <v>1</v>
      </c>
      <c r="E17" s="175" t="s">
        <v>192</v>
      </c>
      <c r="F17" s="175">
        <v>60</v>
      </c>
      <c r="G17" s="177">
        <v>41.77</v>
      </c>
      <c r="H17" s="177">
        <f t="shared" si="0"/>
        <v>41.77</v>
      </c>
      <c r="I17" s="185">
        <f t="shared" si="1"/>
        <v>0.7</v>
      </c>
    </row>
    <row r="18" spans="1:9" ht="15" customHeight="1" x14ac:dyDescent="0.25">
      <c r="A18" s="188">
        <v>16</v>
      </c>
      <c r="B18" s="179" t="s">
        <v>322</v>
      </c>
      <c r="C18" s="175" t="s">
        <v>185</v>
      </c>
      <c r="D18" s="176">
        <v>1</v>
      </c>
      <c r="E18" s="175" t="s">
        <v>192</v>
      </c>
      <c r="F18" s="175">
        <v>60</v>
      </c>
      <c r="G18" s="177">
        <v>36.78</v>
      </c>
      <c r="H18" s="177">
        <f t="shared" si="0"/>
        <v>36.78</v>
      </c>
      <c r="I18" s="185">
        <f t="shared" si="1"/>
        <v>0.61</v>
      </c>
    </row>
    <row r="19" spans="1:9" ht="15" customHeight="1" x14ac:dyDescent="0.25">
      <c r="A19" s="188">
        <v>17</v>
      </c>
      <c r="B19" s="179" t="s">
        <v>323</v>
      </c>
      <c r="C19" s="175" t="s">
        <v>185</v>
      </c>
      <c r="D19" s="176">
        <v>1</v>
      </c>
      <c r="E19" s="175" t="s">
        <v>192</v>
      </c>
      <c r="F19" s="175">
        <v>60</v>
      </c>
      <c r="G19" s="177">
        <v>1500</v>
      </c>
      <c r="H19" s="177">
        <f t="shared" si="0"/>
        <v>1500</v>
      </c>
      <c r="I19" s="185">
        <f t="shared" si="1"/>
        <v>25</v>
      </c>
    </row>
    <row r="20" spans="1:9" ht="15" customHeight="1" x14ac:dyDescent="0.25">
      <c r="A20" s="188">
        <v>18</v>
      </c>
      <c r="B20" s="179" t="s">
        <v>324</v>
      </c>
      <c r="C20" s="175" t="s">
        <v>185</v>
      </c>
      <c r="D20" s="176">
        <v>2</v>
      </c>
      <c r="E20" s="175" t="s">
        <v>192</v>
      </c>
      <c r="F20" s="175">
        <v>60</v>
      </c>
      <c r="G20" s="177">
        <v>12.75</v>
      </c>
      <c r="H20" s="177">
        <f t="shared" si="0"/>
        <v>25.5</v>
      </c>
      <c r="I20" s="185">
        <f t="shared" si="1"/>
        <v>0.43</v>
      </c>
    </row>
    <row r="21" spans="1:9" ht="15" customHeight="1" x14ac:dyDescent="0.25">
      <c r="A21" s="191">
        <v>19</v>
      </c>
      <c r="B21" s="179" t="s">
        <v>342</v>
      </c>
      <c r="C21" s="175" t="s">
        <v>185</v>
      </c>
      <c r="D21" s="180">
        <v>10</v>
      </c>
      <c r="E21" s="175" t="s">
        <v>250</v>
      </c>
      <c r="F21" s="175">
        <v>60</v>
      </c>
      <c r="G21" s="181">
        <v>22.8</v>
      </c>
      <c r="H21" s="181">
        <f>(G21*D21)*2</f>
        <v>456</v>
      </c>
      <c r="I21" s="182">
        <f t="shared" si="1"/>
        <v>7.6</v>
      </c>
    </row>
    <row r="22" spans="1:9" ht="15" customHeight="1" x14ac:dyDescent="0.25">
      <c r="A22" s="191">
        <v>20</v>
      </c>
      <c r="B22" s="179" t="s">
        <v>341</v>
      </c>
      <c r="C22" s="175" t="s">
        <v>185</v>
      </c>
      <c r="D22" s="180">
        <v>10</v>
      </c>
      <c r="E22" s="175" t="s">
        <v>250</v>
      </c>
      <c r="F22" s="175">
        <v>60</v>
      </c>
      <c r="G22" s="181">
        <v>18</v>
      </c>
      <c r="H22" s="181">
        <f>(G22*D22)*2</f>
        <v>360</v>
      </c>
      <c r="I22" s="182">
        <f t="shared" si="1"/>
        <v>6</v>
      </c>
    </row>
    <row r="23" spans="1:9" ht="15" customHeight="1" x14ac:dyDescent="0.25">
      <c r="A23" s="188">
        <v>21</v>
      </c>
      <c r="B23" s="179" t="s">
        <v>325</v>
      </c>
      <c r="C23" s="175" t="s">
        <v>185</v>
      </c>
      <c r="D23" s="190">
        <v>5</v>
      </c>
      <c r="E23" s="175" t="s">
        <v>192</v>
      </c>
      <c r="F23" s="175">
        <v>60</v>
      </c>
      <c r="G23" s="177">
        <v>132.32</v>
      </c>
      <c r="H23" s="177">
        <f>G23*D23</f>
        <v>661.6</v>
      </c>
      <c r="I23" s="185">
        <f t="shared" si="1"/>
        <v>11.03</v>
      </c>
    </row>
    <row r="24" spans="1:9" ht="99.95" customHeight="1" x14ac:dyDescent="0.25">
      <c r="A24" s="188">
        <v>22</v>
      </c>
      <c r="B24" s="179" t="s">
        <v>326</v>
      </c>
      <c r="C24" s="175" t="s">
        <v>185</v>
      </c>
      <c r="D24" s="176">
        <v>1</v>
      </c>
      <c r="E24" s="175" t="s">
        <v>192</v>
      </c>
      <c r="F24" s="175">
        <v>60</v>
      </c>
      <c r="G24" s="177">
        <v>16542.46</v>
      </c>
      <c r="H24" s="177">
        <f>G24*D24</f>
        <v>16542.46</v>
      </c>
      <c r="I24" s="185">
        <f t="shared" si="1"/>
        <v>275.70999999999998</v>
      </c>
    </row>
    <row r="25" spans="1:9" ht="15" customHeight="1" x14ac:dyDescent="0.25">
      <c r="A25" s="188">
        <v>23</v>
      </c>
      <c r="B25" s="179" t="s">
        <v>327</v>
      </c>
      <c r="C25" s="175" t="s">
        <v>185</v>
      </c>
      <c r="D25" s="176">
        <v>2</v>
      </c>
      <c r="E25" s="175" t="s">
        <v>192</v>
      </c>
      <c r="F25" s="175">
        <v>60</v>
      </c>
      <c r="G25" s="177">
        <v>171.33</v>
      </c>
      <c r="H25" s="177">
        <f>G25*D25</f>
        <v>342.66</v>
      </c>
      <c r="I25" s="185">
        <f t="shared" si="1"/>
        <v>5.71</v>
      </c>
    </row>
    <row r="26" spans="1:9" ht="15" customHeight="1" x14ac:dyDescent="0.25">
      <c r="A26" s="191">
        <v>24</v>
      </c>
      <c r="B26" s="179" t="s">
        <v>343</v>
      </c>
      <c r="C26" s="175" t="s">
        <v>185</v>
      </c>
      <c r="D26" s="180">
        <v>12</v>
      </c>
      <c r="E26" s="175" t="s">
        <v>251</v>
      </c>
      <c r="F26" s="175">
        <v>60</v>
      </c>
      <c r="G26" s="181">
        <v>48.47</v>
      </c>
      <c r="H26" s="181">
        <f>(G26*D26)*12</f>
        <v>6979.68</v>
      </c>
      <c r="I26" s="182">
        <f t="shared" si="1"/>
        <v>116.33</v>
      </c>
    </row>
    <row r="27" spans="1:9" ht="15" customHeight="1" x14ac:dyDescent="0.25">
      <c r="A27" s="191">
        <v>25</v>
      </c>
      <c r="B27" s="179" t="s">
        <v>344</v>
      </c>
      <c r="C27" s="175" t="s">
        <v>185</v>
      </c>
      <c r="D27" s="180">
        <v>10</v>
      </c>
      <c r="E27" s="175" t="s">
        <v>251</v>
      </c>
      <c r="F27" s="175">
        <v>60</v>
      </c>
      <c r="G27" s="181">
        <v>48.51</v>
      </c>
      <c r="H27" s="181">
        <f>(G27*D27)*12</f>
        <v>5821.2</v>
      </c>
      <c r="I27" s="182">
        <f t="shared" si="1"/>
        <v>97.02</v>
      </c>
    </row>
    <row r="28" spans="1:9" ht="15" customHeight="1" x14ac:dyDescent="0.25">
      <c r="A28" s="191">
        <v>26</v>
      </c>
      <c r="B28" s="179" t="s">
        <v>328</v>
      </c>
      <c r="C28" s="175" t="s">
        <v>185</v>
      </c>
      <c r="D28" s="180">
        <v>36</v>
      </c>
      <c r="E28" s="175" t="s">
        <v>192</v>
      </c>
      <c r="F28" s="175">
        <v>60</v>
      </c>
      <c r="G28" s="181">
        <v>4.4000000000000004</v>
      </c>
      <c r="H28" s="181">
        <f>G28*D28</f>
        <v>158.4</v>
      </c>
      <c r="I28" s="182">
        <f t="shared" si="1"/>
        <v>2.64</v>
      </c>
    </row>
    <row r="29" spans="1:9" ht="15" customHeight="1" x14ac:dyDescent="0.25">
      <c r="A29" s="188">
        <v>27</v>
      </c>
      <c r="B29" s="179" t="s">
        <v>329</v>
      </c>
      <c r="C29" s="175" t="s">
        <v>185</v>
      </c>
      <c r="D29" s="183">
        <v>12</v>
      </c>
      <c r="E29" s="175" t="s">
        <v>192</v>
      </c>
      <c r="F29" s="175">
        <v>60</v>
      </c>
      <c r="G29" s="177">
        <v>37.28</v>
      </c>
      <c r="H29" s="177">
        <f>G29*D29</f>
        <v>447.36</v>
      </c>
      <c r="I29" s="185">
        <f t="shared" si="1"/>
        <v>7.46</v>
      </c>
    </row>
    <row r="30" spans="1:9" ht="15" customHeight="1" x14ac:dyDescent="0.25">
      <c r="A30" s="193">
        <v>28</v>
      </c>
      <c r="B30" s="194" t="s">
        <v>330</v>
      </c>
      <c r="C30" s="195" t="s">
        <v>185</v>
      </c>
      <c r="D30" s="196">
        <v>3</v>
      </c>
      <c r="E30" s="195" t="s">
        <v>192</v>
      </c>
      <c r="F30" s="195">
        <v>60</v>
      </c>
      <c r="G30" s="197">
        <v>261.3</v>
      </c>
      <c r="H30" s="197">
        <f>G30*D30</f>
        <v>783.9</v>
      </c>
      <c r="I30" s="198">
        <f t="shared" si="1"/>
        <v>13.07</v>
      </c>
    </row>
    <row r="31" spans="1:9" ht="15" customHeight="1" x14ac:dyDescent="0.25">
      <c r="A31" s="188">
        <v>29</v>
      </c>
      <c r="B31" s="179" t="s">
        <v>331</v>
      </c>
      <c r="C31" s="175" t="s">
        <v>185</v>
      </c>
      <c r="D31" s="176">
        <v>1</v>
      </c>
      <c r="E31" s="175" t="s">
        <v>192</v>
      </c>
      <c r="F31" s="175">
        <v>60</v>
      </c>
      <c r="G31" s="177">
        <v>1258.9000000000001</v>
      </c>
      <c r="H31" s="177">
        <f>G31*D31</f>
        <v>1258.9000000000001</v>
      </c>
      <c r="I31" s="185">
        <f t="shared" si="1"/>
        <v>20.98</v>
      </c>
    </row>
    <row r="32" spans="1:9" ht="15" customHeight="1" thickBot="1" x14ac:dyDescent="0.3">
      <c r="A32" s="226">
        <v>30</v>
      </c>
      <c r="B32" s="227" t="s">
        <v>332</v>
      </c>
      <c r="C32" s="228" t="s">
        <v>185</v>
      </c>
      <c r="D32" s="229">
        <v>1</v>
      </c>
      <c r="E32" s="228" t="s">
        <v>192</v>
      </c>
      <c r="F32" s="228">
        <v>60</v>
      </c>
      <c r="G32" s="230">
        <v>124.21</v>
      </c>
      <c r="H32" s="230">
        <f>G32*D32</f>
        <v>124.21</v>
      </c>
      <c r="I32" s="202">
        <f t="shared" si="1"/>
        <v>2.0699999999999998</v>
      </c>
    </row>
    <row r="33" spans="1:9" ht="15.75" thickBot="1" x14ac:dyDescent="0.3">
      <c r="A33" s="494"/>
      <c r="B33" s="495"/>
      <c r="C33" s="495"/>
      <c r="D33" s="495"/>
      <c r="E33" s="495"/>
      <c r="F33" s="495"/>
      <c r="G33" s="495"/>
      <c r="H33" s="231">
        <f>SUM(H3:H32)</f>
        <v>51780.3</v>
      </c>
      <c r="I33" s="231">
        <f>SUM(I3:I32)</f>
        <v>863.06</v>
      </c>
    </row>
    <row r="34" spans="1:9" ht="15.75" thickBot="1" x14ac:dyDescent="0.3">
      <c r="A34" s="465" t="s">
        <v>335</v>
      </c>
      <c r="B34" s="466"/>
      <c r="C34" s="466"/>
      <c r="D34" s="466"/>
      <c r="E34" s="466"/>
      <c r="F34" s="466"/>
      <c r="G34" s="466"/>
      <c r="H34" s="496"/>
      <c r="I34" s="174">
        <f>I33/18</f>
        <v>47.95</v>
      </c>
    </row>
    <row r="35" spans="1:9" ht="15.75" thickBot="1" x14ac:dyDescent="0.3">
      <c r="A35" s="497" t="s">
        <v>360</v>
      </c>
      <c r="B35" s="498"/>
      <c r="C35" s="498"/>
      <c r="D35" s="498"/>
      <c r="E35" s="498"/>
      <c r="F35" s="498"/>
      <c r="G35" s="498"/>
      <c r="H35" s="498"/>
      <c r="I35" s="499"/>
    </row>
    <row r="36" spans="1:9" ht="30" customHeight="1" thickBot="1" x14ac:dyDescent="0.3">
      <c r="A36" s="500" t="s">
        <v>365</v>
      </c>
      <c r="B36" s="501"/>
      <c r="C36" s="501"/>
      <c r="D36" s="501"/>
      <c r="E36" s="501"/>
      <c r="F36" s="501"/>
      <c r="G36" s="501"/>
      <c r="H36" s="501"/>
      <c r="I36" s="502"/>
    </row>
  </sheetData>
  <mergeCells count="5">
    <mergeCell ref="A34:H34"/>
    <mergeCell ref="A1:I1"/>
    <mergeCell ref="A35:I35"/>
    <mergeCell ref="A36:I36"/>
    <mergeCell ref="A33:G33"/>
  </mergeCells>
  <pageMargins left="0.7" right="0.7" top="0.75" bottom="0.75" header="0.3" footer="0.3"/>
  <pageSetup paperSize="9" scale="4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topLeftCell="A7" workbookViewId="0">
      <selection activeCell="E8" sqref="E8"/>
    </sheetView>
  </sheetViews>
  <sheetFormatPr defaultColWidth="42.85546875" defaultRowHeight="18.75" x14ac:dyDescent="0.3"/>
  <cols>
    <col min="1" max="1" width="42.85546875" style="3"/>
    <col min="2" max="2" width="72.5703125" style="3" customWidth="1"/>
    <col min="3" max="16384" width="42.85546875" style="20"/>
  </cols>
  <sheetData>
    <row r="1" spans="1:2" ht="19.5" thickBot="1" x14ac:dyDescent="0.35">
      <c r="A1" s="299" t="s">
        <v>94</v>
      </c>
      <c r="B1" s="299"/>
    </row>
    <row r="2" spans="1:2" ht="19.5" thickBot="1" x14ac:dyDescent="0.35">
      <c r="A2" s="21" t="s">
        <v>95</v>
      </c>
      <c r="B2" s="21" t="s">
        <v>96</v>
      </c>
    </row>
    <row r="3" spans="1:2" ht="19.5" thickBot="1" x14ac:dyDescent="0.35">
      <c r="A3" s="22" t="s">
        <v>97</v>
      </c>
      <c r="B3" s="23" t="s">
        <v>98</v>
      </c>
    </row>
    <row r="4" spans="1:2" ht="57" thickBot="1" x14ac:dyDescent="0.35">
      <c r="A4" s="24" t="s">
        <v>99</v>
      </c>
      <c r="B4" s="25" t="s">
        <v>100</v>
      </c>
    </row>
    <row r="5" spans="1:2" ht="19.5" thickBot="1" x14ac:dyDescent="0.35">
      <c r="A5" s="24" t="s">
        <v>101</v>
      </c>
      <c r="B5" s="25" t="s">
        <v>102</v>
      </c>
    </row>
    <row r="6" spans="1:2" ht="94.5" thickBot="1" x14ac:dyDescent="0.35">
      <c r="A6" s="24" t="s">
        <v>103</v>
      </c>
      <c r="B6" s="25" t="s">
        <v>104</v>
      </c>
    </row>
    <row r="7" spans="1:2" ht="38.25" thickBot="1" x14ac:dyDescent="0.35">
      <c r="A7" s="24" t="s">
        <v>105</v>
      </c>
      <c r="B7" s="25" t="s">
        <v>106</v>
      </c>
    </row>
    <row r="8" spans="1:2" ht="19.5" thickBot="1" x14ac:dyDescent="0.35">
      <c r="A8" s="24" t="s">
        <v>107</v>
      </c>
      <c r="B8" s="25" t="s">
        <v>108</v>
      </c>
    </row>
    <row r="9" spans="1:2" ht="38.25" thickBot="1" x14ac:dyDescent="0.35">
      <c r="A9" s="24" t="s">
        <v>109</v>
      </c>
      <c r="B9" s="25" t="s">
        <v>110</v>
      </c>
    </row>
    <row r="10" spans="1:2" ht="57" thickBot="1" x14ac:dyDescent="0.35">
      <c r="A10" s="24" t="s">
        <v>111</v>
      </c>
      <c r="B10" s="25" t="s">
        <v>112</v>
      </c>
    </row>
    <row r="11" spans="1:2" ht="75.75" thickBot="1" x14ac:dyDescent="0.35">
      <c r="A11" s="24" t="s">
        <v>113</v>
      </c>
      <c r="B11" s="25" t="s">
        <v>114</v>
      </c>
    </row>
    <row r="12" spans="1:2" ht="57" thickBot="1" x14ac:dyDescent="0.35">
      <c r="A12" s="24" t="s">
        <v>111</v>
      </c>
      <c r="B12" s="25" t="s">
        <v>115</v>
      </c>
    </row>
    <row r="13" spans="1:2" ht="38.25" thickBot="1" x14ac:dyDescent="0.35">
      <c r="A13" s="24" t="s">
        <v>111</v>
      </c>
      <c r="B13" s="25" t="s">
        <v>116</v>
      </c>
    </row>
    <row r="14" spans="1:2" ht="57" thickBot="1" x14ac:dyDescent="0.35">
      <c r="A14" s="24" t="s">
        <v>111</v>
      </c>
      <c r="B14" s="25" t="s">
        <v>117</v>
      </c>
    </row>
    <row r="15" spans="1:2" ht="19.5" thickBot="1" x14ac:dyDescent="0.35">
      <c r="A15" s="24" t="s">
        <v>111</v>
      </c>
      <c r="B15" s="25" t="s">
        <v>118</v>
      </c>
    </row>
    <row r="16" spans="1:2" ht="38.25" thickBot="1" x14ac:dyDescent="0.35">
      <c r="A16" s="24" t="s">
        <v>119</v>
      </c>
      <c r="B16" s="25" t="s">
        <v>120</v>
      </c>
    </row>
    <row r="17" spans="1:2" ht="38.25" thickBot="1" x14ac:dyDescent="0.35">
      <c r="A17" s="24" t="s">
        <v>121</v>
      </c>
      <c r="B17" s="25" t="s">
        <v>122</v>
      </c>
    </row>
    <row r="18" spans="1:2" ht="38.25" thickBot="1" x14ac:dyDescent="0.35">
      <c r="A18" s="24" t="s">
        <v>111</v>
      </c>
      <c r="B18" s="25" t="s">
        <v>123</v>
      </c>
    </row>
    <row r="19" spans="1:2" ht="57" thickBot="1" x14ac:dyDescent="0.35">
      <c r="A19" s="24" t="s">
        <v>111</v>
      </c>
      <c r="B19" s="25" t="s">
        <v>124</v>
      </c>
    </row>
    <row r="20" spans="1:2" ht="38.25" thickBot="1" x14ac:dyDescent="0.35">
      <c r="A20" s="24" t="s">
        <v>111</v>
      </c>
      <c r="B20" s="25" t="s">
        <v>125</v>
      </c>
    </row>
    <row r="21" spans="1:2" ht="57" thickBot="1" x14ac:dyDescent="0.35">
      <c r="A21" s="24" t="s">
        <v>111</v>
      </c>
      <c r="B21" s="25" t="s">
        <v>126</v>
      </c>
    </row>
    <row r="22" spans="1:2" x14ac:dyDescent="0.3">
      <c r="A22" s="26" t="s">
        <v>111</v>
      </c>
      <c r="B22" s="27" t="s">
        <v>127</v>
      </c>
    </row>
  </sheetData>
  <mergeCells count="1">
    <mergeCell ref="A1:B1"/>
  </mergeCells>
  <pageMargins left="0.511811024" right="0.511811024" top="0.78740157499999996" bottom="0.78740157499999996" header="0.31496062000000002" footer="0.31496062000000002"/>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9"/>
  <sheetViews>
    <sheetView tabSelected="1" view="pageBreakPreview" topLeftCell="A19" zoomScaleSheetLayoutView="100" workbookViewId="0">
      <selection activeCell="E15" sqref="E15"/>
    </sheetView>
  </sheetViews>
  <sheetFormatPr defaultRowHeight="12.75" x14ac:dyDescent="0.25"/>
  <cols>
    <col min="1" max="1" width="10.7109375" style="29" customWidth="1"/>
    <col min="2" max="2" width="100.7109375" style="30" customWidth="1"/>
    <col min="3" max="3" width="15.7109375" style="30" customWidth="1"/>
    <col min="4" max="4" width="16.7109375" style="30" customWidth="1"/>
    <col min="5" max="6" width="16.7109375" style="29" customWidth="1"/>
    <col min="7" max="9" width="20.7109375" style="31" customWidth="1"/>
    <col min="10" max="10" width="0" style="43" hidden="1" customWidth="1"/>
    <col min="11" max="11" width="9.85546875" style="28" hidden="1" customWidth="1"/>
    <col min="12" max="12" width="9.85546875" style="29" hidden="1" customWidth="1"/>
    <col min="13" max="13" width="10.28515625" style="29" bestFit="1" customWidth="1"/>
    <col min="14" max="16384" width="9.140625" style="29"/>
  </cols>
  <sheetData>
    <row r="1" spans="1:13" ht="15" customHeight="1" thickBot="1" x14ac:dyDescent="0.3">
      <c r="A1" s="305" t="s">
        <v>390</v>
      </c>
      <c r="B1" s="306"/>
      <c r="C1" s="306"/>
      <c r="D1" s="306"/>
      <c r="E1" s="306"/>
      <c r="F1" s="306"/>
      <c r="G1" s="306"/>
      <c r="H1" s="306"/>
      <c r="I1" s="307"/>
      <c r="J1" s="44"/>
    </row>
    <row r="2" spans="1:13" ht="15" customHeight="1" thickBot="1" x14ac:dyDescent="0.3">
      <c r="A2" s="308"/>
      <c r="B2" s="309"/>
      <c r="C2" s="309"/>
      <c r="D2" s="309"/>
      <c r="E2" s="309"/>
      <c r="F2" s="309"/>
      <c r="G2" s="309"/>
      <c r="H2" s="309"/>
      <c r="I2" s="310"/>
      <c r="J2" s="44"/>
    </row>
    <row r="3" spans="1:13" ht="15" customHeight="1" thickBot="1" x14ac:dyDescent="0.3">
      <c r="A3" s="51">
        <v>1</v>
      </c>
      <c r="B3" s="319" t="s">
        <v>145</v>
      </c>
      <c r="C3" s="320"/>
      <c r="D3" s="320"/>
      <c r="E3" s="320"/>
      <c r="F3" s="320"/>
      <c r="G3" s="320"/>
      <c r="H3" s="320"/>
      <c r="I3" s="321"/>
    </row>
    <row r="4" spans="1:13" ht="15" customHeight="1" thickBot="1" x14ac:dyDescent="0.3">
      <c r="A4" s="51" t="s">
        <v>140</v>
      </c>
      <c r="B4" s="319" t="s">
        <v>230</v>
      </c>
      <c r="C4" s="320"/>
      <c r="D4" s="320"/>
      <c r="E4" s="320"/>
      <c r="F4" s="320"/>
      <c r="G4" s="320"/>
      <c r="H4" s="320"/>
      <c r="I4" s="321"/>
    </row>
    <row r="5" spans="1:13" ht="30" customHeight="1" thickBot="1" x14ac:dyDescent="0.3">
      <c r="A5" s="246" t="s">
        <v>138</v>
      </c>
      <c r="B5" s="246" t="s">
        <v>137</v>
      </c>
      <c r="C5" s="246" t="s">
        <v>385</v>
      </c>
      <c r="D5" s="246" t="s">
        <v>190</v>
      </c>
      <c r="E5" s="246" t="s">
        <v>386</v>
      </c>
      <c r="F5" s="246" t="s">
        <v>191</v>
      </c>
      <c r="G5" s="247" t="s">
        <v>387</v>
      </c>
      <c r="H5" s="247" t="s">
        <v>388</v>
      </c>
      <c r="I5" s="247" t="s">
        <v>389</v>
      </c>
    </row>
    <row r="6" spans="1:13" ht="15" customHeight="1" x14ac:dyDescent="0.25">
      <c r="A6" s="138" t="s">
        <v>146</v>
      </c>
      <c r="B6" s="220" t="s">
        <v>255</v>
      </c>
      <c r="C6" s="209">
        <f>F6/D6</f>
        <v>1.9</v>
      </c>
      <c r="D6" s="141">
        <v>350</v>
      </c>
      <c r="E6" s="125" t="s">
        <v>141</v>
      </c>
      <c r="F6" s="136">
        <v>663.73</v>
      </c>
      <c r="G6" s="127">
        <f>'M2'!E8</f>
        <v>21.29</v>
      </c>
      <c r="H6" s="224">
        <f>G6*F6</f>
        <v>14130.81</v>
      </c>
      <c r="I6" s="224">
        <f>H6*12</f>
        <v>169569.72</v>
      </c>
      <c r="J6" s="43">
        <v>11.52</v>
      </c>
    </row>
    <row r="7" spans="1:13" ht="15" customHeight="1" x14ac:dyDescent="0.25">
      <c r="A7" s="138" t="s">
        <v>147</v>
      </c>
      <c r="B7" s="220" t="s">
        <v>256</v>
      </c>
      <c r="C7" s="209">
        <f t="shared" ref="C7:C13" si="0">F7/D7</f>
        <v>7.0000000000000007E-2</v>
      </c>
      <c r="D7" s="141">
        <v>450</v>
      </c>
      <c r="E7" s="125" t="s">
        <v>141</v>
      </c>
      <c r="F7" s="136">
        <v>31.21</v>
      </c>
      <c r="G7" s="127">
        <f>'M2'!E14</f>
        <v>16.559999999999999</v>
      </c>
      <c r="H7" s="224">
        <f>G7*F7</f>
        <v>516.84</v>
      </c>
      <c r="I7" s="224">
        <f>H7*12</f>
        <v>6202.08</v>
      </c>
      <c r="J7" s="43">
        <v>6.38</v>
      </c>
    </row>
    <row r="8" spans="1:13" ht="15" customHeight="1" x14ac:dyDescent="0.25">
      <c r="A8" s="138" t="s">
        <v>148</v>
      </c>
      <c r="B8" s="220" t="s">
        <v>258</v>
      </c>
      <c r="C8" s="209">
        <f>F8/D8</f>
        <v>0.84</v>
      </c>
      <c r="D8" s="141">
        <v>550</v>
      </c>
      <c r="E8" s="125" t="s">
        <v>141</v>
      </c>
      <c r="F8" s="136">
        <v>462.99</v>
      </c>
      <c r="G8" s="127">
        <f>'M2'!K8</f>
        <v>13.54</v>
      </c>
      <c r="H8" s="224">
        <f>G8*F8</f>
        <v>6268.88</v>
      </c>
      <c r="I8" s="224">
        <f>H8*12</f>
        <v>75226.559999999998</v>
      </c>
    </row>
    <row r="9" spans="1:13" ht="15" customHeight="1" thickBot="1" x14ac:dyDescent="0.3">
      <c r="A9" s="138" t="s">
        <v>149</v>
      </c>
      <c r="B9" s="220" t="s">
        <v>257</v>
      </c>
      <c r="C9" s="209">
        <f>F9/D9</f>
        <v>0.28000000000000003</v>
      </c>
      <c r="D9" s="141">
        <v>650</v>
      </c>
      <c r="E9" s="125" t="s">
        <v>141</v>
      </c>
      <c r="F9" s="136">
        <v>181.66</v>
      </c>
      <c r="G9" s="127">
        <f>'M2'!K14</f>
        <v>11.46</v>
      </c>
      <c r="H9" s="224">
        <f>G9*F9</f>
        <v>2081.8200000000002</v>
      </c>
      <c r="I9" s="224">
        <f>H9*12</f>
        <v>24981.84</v>
      </c>
    </row>
    <row r="10" spans="1:13" ht="30" customHeight="1" thickBot="1" x14ac:dyDescent="0.3">
      <c r="A10" s="246" t="s">
        <v>138</v>
      </c>
      <c r="B10" s="246" t="s">
        <v>137</v>
      </c>
      <c r="C10" s="246" t="s">
        <v>385</v>
      </c>
      <c r="D10" s="246" t="s">
        <v>190</v>
      </c>
      <c r="E10" s="246" t="s">
        <v>139</v>
      </c>
      <c r="F10" s="248" t="s">
        <v>191</v>
      </c>
      <c r="G10" s="247" t="s">
        <v>382</v>
      </c>
      <c r="H10" s="247" t="s">
        <v>388</v>
      </c>
      <c r="I10" s="247" t="s">
        <v>389</v>
      </c>
    </row>
    <row r="11" spans="1:13" ht="15" customHeight="1" x14ac:dyDescent="0.25">
      <c r="A11" s="130" t="s">
        <v>150</v>
      </c>
      <c r="B11" s="221" t="s">
        <v>259</v>
      </c>
      <c r="C11" s="211">
        <f t="shared" si="0"/>
        <v>0.95</v>
      </c>
      <c r="D11" s="141">
        <v>700</v>
      </c>
      <c r="E11" s="141" t="s">
        <v>141</v>
      </c>
      <c r="F11" s="217">
        <v>663.73</v>
      </c>
      <c r="G11" s="313">
        <f>'Auxiliar de Limpeza - Noturno'!E112</f>
        <v>7834.43</v>
      </c>
      <c r="H11" s="316">
        <f>G11*2</f>
        <v>15668.86</v>
      </c>
      <c r="I11" s="313">
        <f>H11*12</f>
        <v>188026.32</v>
      </c>
    </row>
    <row r="12" spans="1:13" ht="15" customHeight="1" x14ac:dyDescent="0.25">
      <c r="A12" s="130" t="s">
        <v>151</v>
      </c>
      <c r="B12" s="221" t="s">
        <v>260</v>
      </c>
      <c r="C12" s="211">
        <f>F12/D12</f>
        <v>0.03</v>
      </c>
      <c r="D12" s="141">
        <v>900</v>
      </c>
      <c r="E12" s="141" t="s">
        <v>141</v>
      </c>
      <c r="F12" s="217">
        <v>31.21</v>
      </c>
      <c r="G12" s="314"/>
      <c r="H12" s="317"/>
      <c r="I12" s="314"/>
      <c r="M12" s="214"/>
    </row>
    <row r="13" spans="1:13" ht="15" customHeight="1" thickBot="1" x14ac:dyDescent="0.3">
      <c r="A13" s="131" t="s">
        <v>231</v>
      </c>
      <c r="B13" s="208" t="s">
        <v>261</v>
      </c>
      <c r="C13" s="219">
        <f t="shared" si="0"/>
        <v>0.14000000000000001</v>
      </c>
      <c r="D13" s="208">
        <v>1300</v>
      </c>
      <c r="E13" s="208" t="s">
        <v>141</v>
      </c>
      <c r="F13" s="218">
        <v>181.66</v>
      </c>
      <c r="G13" s="315"/>
      <c r="H13" s="318"/>
      <c r="I13" s="315"/>
    </row>
    <row r="14" spans="1:13" ht="15" customHeight="1" thickBot="1" x14ac:dyDescent="0.3">
      <c r="A14" s="51">
        <v>2</v>
      </c>
      <c r="B14" s="206" t="s">
        <v>136</v>
      </c>
      <c r="C14" s="210"/>
      <c r="D14" s="120"/>
      <c r="E14" s="120"/>
      <c r="F14" s="155"/>
      <c r="G14" s="128"/>
      <c r="H14" s="128"/>
      <c r="I14" s="129"/>
    </row>
    <row r="15" spans="1:13" ht="30" customHeight="1" thickBot="1" x14ac:dyDescent="0.3">
      <c r="A15" s="249" t="s">
        <v>138</v>
      </c>
      <c r="B15" s="249" t="s">
        <v>137</v>
      </c>
      <c r="C15" s="249" t="s">
        <v>385</v>
      </c>
      <c r="D15" s="249" t="s">
        <v>190</v>
      </c>
      <c r="E15" s="249" t="s">
        <v>386</v>
      </c>
      <c r="F15" s="249" t="s">
        <v>191</v>
      </c>
      <c r="G15" s="250" t="s">
        <v>387</v>
      </c>
      <c r="H15" s="250" t="s">
        <v>388</v>
      </c>
      <c r="I15" s="250" t="s">
        <v>389</v>
      </c>
    </row>
    <row r="16" spans="1:13" ht="15" customHeight="1" x14ac:dyDescent="0.25">
      <c r="A16" s="130" t="s">
        <v>142</v>
      </c>
      <c r="B16" s="222" t="s">
        <v>232</v>
      </c>
      <c r="C16" s="209">
        <f t="shared" ref="C16:C18" si="1">F16/D16</f>
        <v>0.11</v>
      </c>
      <c r="D16" s="141">
        <v>2700</v>
      </c>
      <c r="E16" s="125" t="s">
        <v>141</v>
      </c>
      <c r="F16" s="142">
        <v>299.92</v>
      </c>
      <c r="G16" s="127">
        <f>'M2'!E20</f>
        <v>2.76</v>
      </c>
      <c r="H16" s="224">
        <f>F16*G16</f>
        <v>827.78</v>
      </c>
      <c r="I16" s="224">
        <f>H16*12</f>
        <v>9933.36</v>
      </c>
    </row>
    <row r="17" spans="1:10" ht="15" customHeight="1" x14ac:dyDescent="0.25">
      <c r="A17" s="130" t="s">
        <v>143</v>
      </c>
      <c r="B17" s="222" t="s">
        <v>262</v>
      </c>
      <c r="C17" s="209">
        <f t="shared" si="1"/>
        <v>0.04</v>
      </c>
      <c r="D17" s="141">
        <v>9000</v>
      </c>
      <c r="E17" s="125" t="s">
        <v>141</v>
      </c>
      <c r="F17" s="142">
        <v>402.78</v>
      </c>
      <c r="G17" s="127">
        <f>'M2'!E26</f>
        <v>0.82</v>
      </c>
      <c r="H17" s="224">
        <f>F17*G17</f>
        <v>330.28</v>
      </c>
      <c r="I17" s="224">
        <f>H17*12</f>
        <v>3963.36</v>
      </c>
    </row>
    <row r="18" spans="1:10" ht="15" customHeight="1" thickBot="1" x14ac:dyDescent="0.3">
      <c r="A18" s="130" t="s">
        <v>207</v>
      </c>
      <c r="B18" s="222" t="s">
        <v>263</v>
      </c>
      <c r="C18" s="209">
        <f t="shared" si="1"/>
        <v>0.57999999999999996</v>
      </c>
      <c r="D18" s="141">
        <v>2700</v>
      </c>
      <c r="E18" s="125" t="s">
        <v>141</v>
      </c>
      <c r="F18" s="142">
        <v>1557.6</v>
      </c>
      <c r="G18" s="127">
        <f>'M2'!K20</f>
        <v>2.76</v>
      </c>
      <c r="H18" s="224">
        <f>F18*G18</f>
        <v>4298.9799999999996</v>
      </c>
      <c r="I18" s="224">
        <f>H18*12</f>
        <v>51587.76</v>
      </c>
    </row>
    <row r="19" spans="1:10" ht="15" customHeight="1" thickBot="1" x14ac:dyDescent="0.3">
      <c r="A19" s="239" t="s">
        <v>234</v>
      </c>
      <c r="B19" s="240" t="s">
        <v>229</v>
      </c>
      <c r="C19" s="241"/>
      <c r="D19" s="242"/>
      <c r="E19" s="242"/>
      <c r="F19" s="243"/>
      <c r="G19" s="244"/>
      <c r="H19" s="244"/>
      <c r="I19" s="245"/>
    </row>
    <row r="20" spans="1:10" ht="30" customHeight="1" thickBot="1" x14ac:dyDescent="0.3">
      <c r="A20" s="246" t="s">
        <v>138</v>
      </c>
      <c r="B20" s="246" t="s">
        <v>137</v>
      </c>
      <c r="C20" s="246" t="s">
        <v>385</v>
      </c>
      <c r="D20" s="246" t="s">
        <v>190</v>
      </c>
      <c r="E20" s="246" t="s">
        <v>386</v>
      </c>
      <c r="F20" s="246" t="s">
        <v>191</v>
      </c>
      <c r="G20" s="247" t="s">
        <v>387</v>
      </c>
      <c r="H20" s="247" t="s">
        <v>388</v>
      </c>
      <c r="I20" s="247" t="s">
        <v>389</v>
      </c>
    </row>
    <row r="21" spans="1:10" ht="15" customHeight="1" x14ac:dyDescent="0.25">
      <c r="A21" s="130" t="s">
        <v>144</v>
      </c>
      <c r="B21" s="223" t="s">
        <v>264</v>
      </c>
      <c r="C21" s="211">
        <f t="shared" ref="C21:C24" si="2">F21/D21</f>
        <v>0.09</v>
      </c>
      <c r="D21" s="141">
        <v>380</v>
      </c>
      <c r="E21" s="207" t="s">
        <v>141</v>
      </c>
      <c r="F21" s="142">
        <v>33.76</v>
      </c>
      <c r="G21" s="224">
        <f>'M2'!H32</f>
        <v>1.66</v>
      </c>
      <c r="H21" s="224">
        <f>F21*G21</f>
        <v>56.04</v>
      </c>
      <c r="I21" s="127">
        <f>H21*12</f>
        <v>672.48</v>
      </c>
    </row>
    <row r="22" spans="1:10" ht="15" customHeight="1" x14ac:dyDescent="0.25">
      <c r="A22" s="130" t="s">
        <v>383</v>
      </c>
      <c r="B22" s="223" t="s">
        <v>371</v>
      </c>
      <c r="C22" s="211">
        <f t="shared" si="2"/>
        <v>0.09</v>
      </c>
      <c r="D22" s="141">
        <v>380</v>
      </c>
      <c r="E22" s="207" t="s">
        <v>141</v>
      </c>
      <c r="F22" s="142">
        <v>33.76</v>
      </c>
      <c r="G22" s="224">
        <f>'M2'!H38</f>
        <v>1.66</v>
      </c>
      <c r="H22" s="224">
        <f>F22*G22</f>
        <v>56.04</v>
      </c>
      <c r="I22" s="127">
        <f>H22*12</f>
        <v>672.48</v>
      </c>
    </row>
    <row r="23" spans="1:10" ht="15" customHeight="1" x14ac:dyDescent="0.25">
      <c r="A23" s="130" t="s">
        <v>351</v>
      </c>
      <c r="B23" s="223" t="s">
        <v>372</v>
      </c>
      <c r="C23" s="211">
        <f t="shared" si="2"/>
        <v>0.1</v>
      </c>
      <c r="D23" s="141">
        <v>380</v>
      </c>
      <c r="E23" s="207" t="s">
        <v>141</v>
      </c>
      <c r="F23" s="142">
        <v>36.4</v>
      </c>
      <c r="G23" s="224">
        <f>'M2'!H44</f>
        <v>1.66</v>
      </c>
      <c r="H23" s="224">
        <f>F23*G23</f>
        <v>60.42</v>
      </c>
      <c r="I23" s="127">
        <f>H23*12</f>
        <v>725.04</v>
      </c>
      <c r="J23" s="44"/>
    </row>
    <row r="24" spans="1:10" ht="15" customHeight="1" thickBot="1" x14ac:dyDescent="0.3">
      <c r="A24" s="130" t="s">
        <v>384</v>
      </c>
      <c r="B24" s="223" t="s">
        <v>373</v>
      </c>
      <c r="C24" s="211">
        <f t="shared" si="2"/>
        <v>0.23</v>
      </c>
      <c r="D24" s="141">
        <v>160</v>
      </c>
      <c r="E24" s="207" t="s">
        <v>141</v>
      </c>
      <c r="F24" s="142">
        <v>36.4</v>
      </c>
      <c r="G24" s="224">
        <f>'M2'!H50</f>
        <v>3.95</v>
      </c>
      <c r="H24" s="224">
        <f>F24*G24</f>
        <v>143.78</v>
      </c>
      <c r="I24" s="127">
        <f>H24*12</f>
        <v>1725.36</v>
      </c>
      <c r="J24" s="44"/>
    </row>
    <row r="25" spans="1:10" ht="15" customHeight="1" thickBot="1" x14ac:dyDescent="0.3">
      <c r="A25" s="51">
        <v>4</v>
      </c>
      <c r="B25" s="206" t="s">
        <v>235</v>
      </c>
      <c r="C25" s="210"/>
      <c r="D25" s="120"/>
      <c r="E25" s="120"/>
      <c r="F25" s="120"/>
      <c r="G25" s="120"/>
      <c r="H25" s="213"/>
      <c r="I25" s="215"/>
    </row>
    <row r="26" spans="1:10" ht="30" customHeight="1" thickBot="1" x14ac:dyDescent="0.3">
      <c r="A26" s="251" t="s">
        <v>138</v>
      </c>
      <c r="B26" s="252" t="s">
        <v>137</v>
      </c>
      <c r="C26" s="252" t="s">
        <v>385</v>
      </c>
      <c r="D26" s="311" t="s">
        <v>236</v>
      </c>
      <c r="E26" s="312"/>
      <c r="F26" s="253" t="s">
        <v>249</v>
      </c>
      <c r="G26" s="254" t="s">
        <v>387</v>
      </c>
      <c r="H26" s="255" t="s">
        <v>388</v>
      </c>
      <c r="I26" s="255" t="s">
        <v>389</v>
      </c>
      <c r="J26" s="137" t="s">
        <v>237</v>
      </c>
    </row>
    <row r="27" spans="1:10" ht="45" customHeight="1" thickBot="1" x14ac:dyDescent="0.3">
      <c r="A27" s="119" t="s">
        <v>28</v>
      </c>
      <c r="B27" s="139" t="s">
        <v>265</v>
      </c>
      <c r="C27" s="212">
        <v>2</v>
      </c>
      <c r="D27" s="303" t="s">
        <v>269</v>
      </c>
      <c r="E27" s="304"/>
      <c r="F27" s="132">
        <v>1</v>
      </c>
      <c r="G27" s="134">
        <f>'Auxiliar de Limpeza - Diurno'!E112</f>
        <v>7146.42</v>
      </c>
      <c r="H27" s="134">
        <f t="shared" ref="H27:H32" si="3">(G27*F27)*2</f>
        <v>14292.84</v>
      </c>
      <c r="I27" s="134">
        <f t="shared" ref="I27:I32" si="4">H27*12</f>
        <v>171514.08</v>
      </c>
    </row>
    <row r="28" spans="1:10" ht="45" customHeight="1" thickBot="1" x14ac:dyDescent="0.3">
      <c r="A28" s="119" t="s">
        <v>32</v>
      </c>
      <c r="B28" s="139" t="s">
        <v>266</v>
      </c>
      <c r="C28" s="212">
        <v>2</v>
      </c>
      <c r="D28" s="303" t="s">
        <v>270</v>
      </c>
      <c r="E28" s="304"/>
      <c r="F28" s="132">
        <v>1</v>
      </c>
      <c r="G28" s="134">
        <f>'Auxiliar de Limpeza - Noturno'!E112</f>
        <v>7834.43</v>
      </c>
      <c r="H28" s="134">
        <f t="shared" si="3"/>
        <v>15668.86</v>
      </c>
      <c r="I28" s="134">
        <f t="shared" si="4"/>
        <v>188026.32</v>
      </c>
    </row>
    <row r="29" spans="1:10" ht="45" customHeight="1" thickBot="1" x14ac:dyDescent="0.3">
      <c r="A29" s="131" t="s">
        <v>238</v>
      </c>
      <c r="B29" s="140" t="s">
        <v>267</v>
      </c>
      <c r="C29" s="208">
        <v>2</v>
      </c>
      <c r="D29" s="303" t="s">
        <v>269</v>
      </c>
      <c r="E29" s="304"/>
      <c r="F29" s="133">
        <v>1</v>
      </c>
      <c r="G29" s="225">
        <f>'Auxiliar de Limpeza - Diurno'!E112</f>
        <v>7146.42</v>
      </c>
      <c r="H29" s="134">
        <f t="shared" si="3"/>
        <v>14292.84</v>
      </c>
      <c r="I29" s="134">
        <f t="shared" si="4"/>
        <v>171514.08</v>
      </c>
    </row>
    <row r="30" spans="1:10" ht="45" customHeight="1" thickBot="1" x14ac:dyDescent="0.3">
      <c r="A30" s="119" t="s">
        <v>239</v>
      </c>
      <c r="B30" s="139" t="s">
        <v>352</v>
      </c>
      <c r="C30" s="212">
        <v>2</v>
      </c>
      <c r="D30" s="303" t="s">
        <v>270</v>
      </c>
      <c r="E30" s="304"/>
      <c r="F30" s="132">
        <v>1</v>
      </c>
      <c r="G30" s="134">
        <f>'Auxiliar de Limpeza - Noturno'!E112</f>
        <v>7834.43</v>
      </c>
      <c r="H30" s="134">
        <f t="shared" si="3"/>
        <v>15668.86</v>
      </c>
      <c r="I30" s="134">
        <f t="shared" si="4"/>
        <v>188026.32</v>
      </c>
    </row>
    <row r="31" spans="1:10" ht="45" customHeight="1" thickBot="1" x14ac:dyDescent="0.3">
      <c r="A31" s="131" t="s">
        <v>247</v>
      </c>
      <c r="B31" s="140" t="s">
        <v>268</v>
      </c>
      <c r="C31" s="208">
        <v>2</v>
      </c>
      <c r="D31" s="303" t="s">
        <v>269</v>
      </c>
      <c r="E31" s="304"/>
      <c r="F31" s="132">
        <v>1</v>
      </c>
      <c r="G31" s="134">
        <f>'Auxiliar de Limpeza - Diurno'!E112</f>
        <v>7146.42</v>
      </c>
      <c r="H31" s="134">
        <f t="shared" si="3"/>
        <v>14292.84</v>
      </c>
      <c r="I31" s="134">
        <f t="shared" si="4"/>
        <v>171514.08</v>
      </c>
    </row>
    <row r="32" spans="1:10" ht="45" customHeight="1" thickBot="1" x14ac:dyDescent="0.3">
      <c r="A32" s="119" t="s">
        <v>248</v>
      </c>
      <c r="B32" s="139" t="s">
        <v>353</v>
      </c>
      <c r="C32" s="212">
        <v>2</v>
      </c>
      <c r="D32" s="303" t="s">
        <v>270</v>
      </c>
      <c r="E32" s="304"/>
      <c r="F32" s="132">
        <v>1</v>
      </c>
      <c r="G32" s="134">
        <f>'Auxiliar de Limpeza - Noturno'!E112</f>
        <v>7834.43</v>
      </c>
      <c r="H32" s="134">
        <f t="shared" si="3"/>
        <v>15668.86</v>
      </c>
      <c r="I32" s="134">
        <f t="shared" si="4"/>
        <v>188026.32</v>
      </c>
    </row>
    <row r="33" spans="1:11" ht="15" customHeight="1" thickBot="1" x14ac:dyDescent="0.3">
      <c r="A33" s="300"/>
      <c r="B33" s="301"/>
      <c r="C33" s="301"/>
      <c r="D33" s="301"/>
      <c r="E33" s="301"/>
      <c r="F33" s="301"/>
      <c r="G33" s="302"/>
      <c r="H33" s="135">
        <f>SUM(H6:H32)</f>
        <v>134325.63</v>
      </c>
      <c r="I33" s="135">
        <f>SUM(I6:I32)</f>
        <v>1611907.56</v>
      </c>
      <c r="J33" s="29"/>
      <c r="K33" s="42">
        <v>470890</v>
      </c>
    </row>
    <row r="36" spans="1:11" x14ac:dyDescent="0.25">
      <c r="B36" s="29"/>
      <c r="C36" s="29"/>
      <c r="D36" s="29"/>
      <c r="G36" s="29"/>
      <c r="H36" s="29"/>
      <c r="I36" s="29"/>
    </row>
    <row r="37" spans="1:11" x14ac:dyDescent="0.25">
      <c r="B37" s="29"/>
      <c r="C37" s="29"/>
      <c r="D37" s="29"/>
      <c r="G37" s="29"/>
      <c r="H37" s="29"/>
      <c r="I37" s="29"/>
    </row>
    <row r="39" spans="1:11" ht="60" x14ac:dyDescent="0.25">
      <c r="J39" s="126" t="s">
        <v>389</v>
      </c>
    </row>
  </sheetData>
  <mergeCells count="15">
    <mergeCell ref="A33:G33"/>
    <mergeCell ref="D29:E29"/>
    <mergeCell ref="D32:E32"/>
    <mergeCell ref="D28:E28"/>
    <mergeCell ref="A1:I1"/>
    <mergeCell ref="A2:I2"/>
    <mergeCell ref="D26:E26"/>
    <mergeCell ref="D27:E27"/>
    <mergeCell ref="D30:E30"/>
    <mergeCell ref="D31:E31"/>
    <mergeCell ref="G11:G13"/>
    <mergeCell ref="I11:I13"/>
    <mergeCell ref="H11:H13"/>
    <mergeCell ref="B3:I3"/>
    <mergeCell ref="B4:I4"/>
  </mergeCells>
  <pageMargins left="0.7" right="0.7" top="0.75" bottom="0.75" header="0.3" footer="0.3"/>
  <pageSetup paperSize="9" scale="39" orientation="portrait" r:id="rId1"/>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0"/>
  <sheetViews>
    <sheetView view="pageBreakPreview" zoomScaleNormal="100" zoomScaleSheetLayoutView="100" workbookViewId="0">
      <selection activeCell="A15" sqref="A15:K15"/>
    </sheetView>
  </sheetViews>
  <sheetFormatPr defaultRowHeight="15" x14ac:dyDescent="0.25"/>
  <cols>
    <col min="1" max="11" width="15.7109375" customWidth="1"/>
  </cols>
  <sheetData>
    <row r="1" spans="1:11" ht="15.75" customHeight="1" thickBot="1" x14ac:dyDescent="0.3">
      <c r="A1" s="337" t="s">
        <v>172</v>
      </c>
      <c r="B1" s="338"/>
      <c r="C1" s="338"/>
      <c r="D1" s="338"/>
      <c r="E1" s="338"/>
      <c r="F1" s="338"/>
      <c r="G1" s="338"/>
      <c r="H1" s="338"/>
      <c r="I1" s="338"/>
      <c r="J1" s="338"/>
      <c r="K1" s="339"/>
    </row>
    <row r="2" spans="1:11" ht="15" customHeight="1" thickBot="1" x14ac:dyDescent="0.3">
      <c r="A2" s="256"/>
      <c r="B2" s="257"/>
      <c r="C2" s="257"/>
      <c r="D2" s="257"/>
      <c r="E2" s="257"/>
      <c r="F2" s="258"/>
      <c r="G2" s="259"/>
      <c r="H2" s="259"/>
      <c r="I2" s="260"/>
      <c r="J2" s="260"/>
      <c r="K2" s="261"/>
    </row>
    <row r="3" spans="1:11" ht="15" customHeight="1" thickBot="1" x14ac:dyDescent="0.3">
      <c r="A3" s="343" t="s">
        <v>145</v>
      </c>
      <c r="B3" s="344"/>
      <c r="C3" s="344"/>
      <c r="D3" s="344"/>
      <c r="E3" s="344"/>
      <c r="F3" s="344"/>
      <c r="G3" s="344"/>
      <c r="H3" s="344"/>
      <c r="I3" s="344"/>
      <c r="J3" s="344"/>
      <c r="K3" s="345"/>
    </row>
    <row r="4" spans="1:11" ht="15" customHeight="1" x14ac:dyDescent="0.25">
      <c r="A4" s="346" t="s">
        <v>255</v>
      </c>
      <c r="B4" s="347"/>
      <c r="C4" s="347"/>
      <c r="D4" s="347"/>
      <c r="E4" s="348"/>
      <c r="F4" s="262"/>
      <c r="G4" s="346" t="s">
        <v>258</v>
      </c>
      <c r="H4" s="347"/>
      <c r="I4" s="347"/>
      <c r="J4" s="347"/>
      <c r="K4" s="348"/>
    </row>
    <row r="5" spans="1:11" ht="60" customHeight="1" x14ac:dyDescent="0.25">
      <c r="A5" s="57" t="s">
        <v>173</v>
      </c>
      <c r="B5" s="349" t="s">
        <v>210</v>
      </c>
      <c r="C5" s="350"/>
      <c r="D5" s="238" t="s">
        <v>174</v>
      </c>
      <c r="E5" s="143" t="s">
        <v>211</v>
      </c>
      <c r="F5" s="263"/>
      <c r="G5" s="57" t="s">
        <v>173</v>
      </c>
      <c r="H5" s="349" t="s">
        <v>210</v>
      </c>
      <c r="I5" s="350"/>
      <c r="J5" s="238" t="s">
        <v>174</v>
      </c>
      <c r="K5" s="143" t="s">
        <v>211</v>
      </c>
    </row>
    <row r="6" spans="1:11" ht="15" customHeight="1" x14ac:dyDescent="0.25">
      <c r="A6" s="144" t="s">
        <v>175</v>
      </c>
      <c r="B6" s="145" t="s">
        <v>176</v>
      </c>
      <c r="C6" s="146">
        <f>1/350</f>
        <v>2.8571400000000002E-3</v>
      </c>
      <c r="D6" s="147">
        <f>'Auxiliar de Limpeza - Diurno'!E112</f>
        <v>7146.42</v>
      </c>
      <c r="E6" s="148">
        <f>ROUND(C6*D6,2)</f>
        <v>20.420000000000002</v>
      </c>
      <c r="F6" s="263"/>
      <c r="G6" s="144" t="s">
        <v>175</v>
      </c>
      <c r="H6" s="145" t="s">
        <v>179</v>
      </c>
      <c r="I6" s="146">
        <f>1/550</f>
        <v>1.81818E-3</v>
      </c>
      <c r="J6" s="147">
        <f>'Auxiliar de Limpeza - Diurno'!E112</f>
        <v>7146.42</v>
      </c>
      <c r="K6" s="148">
        <f>ROUND(I6*J6,2)</f>
        <v>12.99</v>
      </c>
    </row>
    <row r="7" spans="1:11" ht="15" customHeight="1" x14ac:dyDescent="0.25">
      <c r="A7" s="144" t="s">
        <v>177</v>
      </c>
      <c r="B7" s="145" t="s">
        <v>354</v>
      </c>
      <c r="C7" s="146">
        <f>1/(30*350)</f>
        <v>9.5240000000000003E-5</v>
      </c>
      <c r="D7" s="147">
        <f>'Encarregado - Diurno'!E112</f>
        <v>9118.34</v>
      </c>
      <c r="E7" s="148">
        <f>ROUND(C7*D7,2)</f>
        <v>0.87</v>
      </c>
      <c r="F7" s="263"/>
      <c r="G7" s="144" t="s">
        <v>177</v>
      </c>
      <c r="H7" s="145" t="s">
        <v>357</v>
      </c>
      <c r="I7" s="146">
        <f>1/(30*550)</f>
        <v>6.0609999999999997E-5</v>
      </c>
      <c r="J7" s="147">
        <f>'Encarregado - Diurno'!E112</f>
        <v>9118.34</v>
      </c>
      <c r="K7" s="148">
        <f>ROUND(I7*J7,2)</f>
        <v>0.55000000000000004</v>
      </c>
    </row>
    <row r="8" spans="1:11" ht="15" customHeight="1" thickBot="1" x14ac:dyDescent="0.3">
      <c r="A8" s="340" t="s">
        <v>178</v>
      </c>
      <c r="B8" s="341"/>
      <c r="C8" s="341"/>
      <c r="D8" s="342"/>
      <c r="E8" s="156">
        <f>SUM(E6:E7)</f>
        <v>21.29</v>
      </c>
      <c r="F8" s="263"/>
      <c r="G8" s="351" t="s">
        <v>178</v>
      </c>
      <c r="H8" s="352"/>
      <c r="I8" s="352"/>
      <c r="J8" s="352"/>
      <c r="K8" s="156">
        <f>SUM(K6:K7)</f>
        <v>13.54</v>
      </c>
    </row>
    <row r="9" spans="1:11" ht="15" customHeight="1" thickBot="1" x14ac:dyDescent="0.3">
      <c r="A9" s="125"/>
      <c r="B9" s="207"/>
      <c r="C9" s="262"/>
      <c r="D9" s="264"/>
      <c r="E9" s="265"/>
      <c r="F9" s="262"/>
      <c r="G9" s="266"/>
      <c r="H9" s="266"/>
      <c r="I9" s="266"/>
      <c r="J9" s="266"/>
      <c r="K9" s="216"/>
    </row>
    <row r="10" spans="1:11" ht="15" customHeight="1" x14ac:dyDescent="0.25">
      <c r="A10" s="353" t="s">
        <v>350</v>
      </c>
      <c r="B10" s="354"/>
      <c r="C10" s="354"/>
      <c r="D10" s="354"/>
      <c r="E10" s="355"/>
      <c r="F10" s="262"/>
      <c r="G10" s="346" t="s">
        <v>349</v>
      </c>
      <c r="H10" s="347"/>
      <c r="I10" s="347"/>
      <c r="J10" s="347"/>
      <c r="K10" s="348"/>
    </row>
    <row r="11" spans="1:11" ht="60" customHeight="1" x14ac:dyDescent="0.25">
      <c r="A11" s="57" t="s">
        <v>173</v>
      </c>
      <c r="B11" s="349" t="s">
        <v>210</v>
      </c>
      <c r="C11" s="350"/>
      <c r="D11" s="238" t="s">
        <v>174</v>
      </c>
      <c r="E11" s="143" t="s">
        <v>211</v>
      </c>
      <c r="F11" s="262"/>
      <c r="G11" s="57" t="s">
        <v>173</v>
      </c>
      <c r="H11" s="349" t="s">
        <v>210</v>
      </c>
      <c r="I11" s="350"/>
      <c r="J11" s="238" t="s">
        <v>174</v>
      </c>
      <c r="K11" s="143" t="s">
        <v>211</v>
      </c>
    </row>
    <row r="12" spans="1:11" ht="15" customHeight="1" x14ac:dyDescent="0.25">
      <c r="A12" s="144" t="s">
        <v>175</v>
      </c>
      <c r="B12" s="145" t="s">
        <v>184</v>
      </c>
      <c r="C12" s="146">
        <f>1/450</f>
        <v>2.22222E-3</v>
      </c>
      <c r="D12" s="147">
        <f>'Auxiliar de Limpeza - Diurno'!E112</f>
        <v>7146.42</v>
      </c>
      <c r="E12" s="148">
        <f>ROUND(C12*D12,2)</f>
        <v>15.88</v>
      </c>
      <c r="F12" s="262"/>
      <c r="G12" s="144" t="s">
        <v>175</v>
      </c>
      <c r="H12" s="145" t="s">
        <v>348</v>
      </c>
      <c r="I12" s="146">
        <f>1/650</f>
        <v>1.53846E-3</v>
      </c>
      <c r="J12" s="147">
        <f>'Auxiliar de Limpeza - Diurno'!E112</f>
        <v>7146.42</v>
      </c>
      <c r="K12" s="148">
        <f>ROUND(I12*J12,2)</f>
        <v>10.99</v>
      </c>
    </row>
    <row r="13" spans="1:11" ht="15" customHeight="1" x14ac:dyDescent="0.25">
      <c r="A13" s="144" t="s">
        <v>177</v>
      </c>
      <c r="B13" s="145" t="s">
        <v>355</v>
      </c>
      <c r="C13" s="146">
        <f>1/(30*450)</f>
        <v>7.4070000000000001E-5</v>
      </c>
      <c r="D13" s="147">
        <f>'Encarregado - Diurno'!E112</f>
        <v>9118.34</v>
      </c>
      <c r="E13" s="148">
        <f>ROUND(C13*D13,2)</f>
        <v>0.68</v>
      </c>
      <c r="F13" s="262"/>
      <c r="G13" s="144" t="s">
        <v>177</v>
      </c>
      <c r="H13" s="145" t="s">
        <v>356</v>
      </c>
      <c r="I13" s="146">
        <f>1/(30*650)</f>
        <v>5.1279999999999997E-5</v>
      </c>
      <c r="J13" s="147">
        <f>'Encarregado - Diurno'!E112</f>
        <v>9118.34</v>
      </c>
      <c r="K13" s="148">
        <f>ROUND(I13*J13,2)</f>
        <v>0.47</v>
      </c>
    </row>
    <row r="14" spans="1:11" ht="15" customHeight="1" thickBot="1" x14ac:dyDescent="0.3">
      <c r="A14" s="340" t="s">
        <v>178</v>
      </c>
      <c r="B14" s="341"/>
      <c r="C14" s="341"/>
      <c r="D14" s="342"/>
      <c r="E14" s="156">
        <f>SUM(E12:E13)</f>
        <v>16.559999999999999</v>
      </c>
      <c r="F14" s="262"/>
      <c r="G14" s="351" t="s">
        <v>178</v>
      </c>
      <c r="H14" s="352"/>
      <c r="I14" s="352"/>
      <c r="J14" s="352"/>
      <c r="K14" s="156">
        <f>SUM(K12:K13)</f>
        <v>11.46</v>
      </c>
    </row>
    <row r="15" spans="1:11" ht="15" customHeight="1" thickBot="1" x14ac:dyDescent="0.3">
      <c r="A15" s="337" t="s">
        <v>136</v>
      </c>
      <c r="B15" s="338"/>
      <c r="C15" s="338"/>
      <c r="D15" s="338"/>
      <c r="E15" s="338"/>
      <c r="F15" s="338"/>
      <c r="G15" s="338"/>
      <c r="H15" s="338"/>
      <c r="I15" s="338"/>
      <c r="J15" s="338"/>
      <c r="K15" s="339"/>
    </row>
    <row r="16" spans="1:11" ht="15" customHeight="1" x14ac:dyDescent="0.25">
      <c r="A16" s="359" t="s">
        <v>232</v>
      </c>
      <c r="B16" s="360"/>
      <c r="C16" s="360"/>
      <c r="D16" s="360"/>
      <c r="E16" s="361"/>
      <c r="F16" s="262"/>
      <c r="G16" s="356" t="s">
        <v>263</v>
      </c>
      <c r="H16" s="357"/>
      <c r="I16" s="357"/>
      <c r="J16" s="357"/>
      <c r="K16" s="358"/>
    </row>
    <row r="17" spans="1:11" ht="60" customHeight="1" x14ac:dyDescent="0.25">
      <c r="A17" s="57" t="s">
        <v>173</v>
      </c>
      <c r="B17" s="349" t="s">
        <v>210</v>
      </c>
      <c r="C17" s="350"/>
      <c r="D17" s="238" t="s">
        <v>174</v>
      </c>
      <c r="E17" s="143" t="s">
        <v>211</v>
      </c>
      <c r="F17" s="262"/>
      <c r="G17" s="57" t="s">
        <v>173</v>
      </c>
      <c r="H17" s="362" t="s">
        <v>210</v>
      </c>
      <c r="I17" s="363"/>
      <c r="J17" s="238" t="s">
        <v>174</v>
      </c>
      <c r="K17" s="143" t="s">
        <v>211</v>
      </c>
    </row>
    <row r="18" spans="1:11" ht="15" customHeight="1" x14ac:dyDescent="0.25">
      <c r="A18" s="144" t="s">
        <v>175</v>
      </c>
      <c r="B18" s="149" t="s">
        <v>374</v>
      </c>
      <c r="C18" s="146">
        <f>1/2700</f>
        <v>3.7037000000000002E-4</v>
      </c>
      <c r="D18" s="147">
        <f>'Auxiliar de Limpeza - Diurno'!E112</f>
        <v>7146.42</v>
      </c>
      <c r="E18" s="148">
        <f>D18*C18</f>
        <v>2.65</v>
      </c>
      <c r="F18" s="262"/>
      <c r="G18" s="144" t="s">
        <v>175</v>
      </c>
      <c r="H18" s="149" t="s">
        <v>374</v>
      </c>
      <c r="I18" s="146">
        <f>1/2700</f>
        <v>3.7037000000000002E-4</v>
      </c>
      <c r="J18" s="147">
        <f>'Auxiliar de Limpeza - Diurno'!E112</f>
        <v>7146.42</v>
      </c>
      <c r="K18" s="148">
        <f>J18*I18</f>
        <v>2.65</v>
      </c>
    </row>
    <row r="19" spans="1:11" ht="15" customHeight="1" x14ac:dyDescent="0.25">
      <c r="A19" s="144" t="s">
        <v>177</v>
      </c>
      <c r="B19" s="145" t="s">
        <v>375</v>
      </c>
      <c r="C19" s="146">
        <f>1/(30*2700)</f>
        <v>1.235E-5</v>
      </c>
      <c r="D19" s="147">
        <f>'Encarregado - Diurno'!E112</f>
        <v>9118.34</v>
      </c>
      <c r="E19" s="148">
        <f>D19*C19</f>
        <v>0.11</v>
      </c>
      <c r="F19" s="262"/>
      <c r="G19" s="144" t="s">
        <v>177</v>
      </c>
      <c r="H19" s="145" t="s">
        <v>375</v>
      </c>
      <c r="I19" s="146">
        <f>1/(30*2700)</f>
        <v>1.235E-5</v>
      </c>
      <c r="J19" s="147">
        <f>'Encarregado - Diurno'!E112</f>
        <v>9118.34</v>
      </c>
      <c r="K19" s="148">
        <f>J19*I19</f>
        <v>0.11</v>
      </c>
    </row>
    <row r="20" spans="1:11" ht="15" customHeight="1" thickBot="1" x14ac:dyDescent="0.3">
      <c r="A20" s="340" t="s">
        <v>178</v>
      </c>
      <c r="B20" s="341"/>
      <c r="C20" s="341"/>
      <c r="D20" s="342"/>
      <c r="E20" s="156">
        <f>SUM(E18:E19)</f>
        <v>2.76</v>
      </c>
      <c r="F20" s="262"/>
      <c r="G20" s="340" t="s">
        <v>178</v>
      </c>
      <c r="H20" s="341"/>
      <c r="I20" s="341"/>
      <c r="J20" s="342"/>
      <c r="K20" s="156">
        <f>SUM(K18:K19)</f>
        <v>2.76</v>
      </c>
    </row>
    <row r="21" spans="1:11" ht="15" customHeight="1" thickBot="1" x14ac:dyDescent="0.3">
      <c r="A21" s="157"/>
      <c r="B21" s="267"/>
      <c r="C21" s="267"/>
      <c r="D21" s="267"/>
      <c r="E21" s="265"/>
      <c r="F21" s="364"/>
      <c r="G21" s="364"/>
      <c r="H21" s="364"/>
      <c r="I21" s="364"/>
      <c r="J21" s="364"/>
      <c r="K21" s="365"/>
    </row>
    <row r="22" spans="1:11" ht="15" customHeight="1" x14ac:dyDescent="0.25">
      <c r="A22" s="359" t="s">
        <v>233</v>
      </c>
      <c r="B22" s="360"/>
      <c r="C22" s="360"/>
      <c r="D22" s="360"/>
      <c r="E22" s="361"/>
      <c r="F22" s="364"/>
      <c r="G22" s="364"/>
      <c r="H22" s="364"/>
      <c r="I22" s="364"/>
      <c r="J22" s="364"/>
      <c r="K22" s="365"/>
    </row>
    <row r="23" spans="1:11" ht="60" customHeight="1" x14ac:dyDescent="0.25">
      <c r="A23" s="57" t="s">
        <v>173</v>
      </c>
      <c r="B23" s="349" t="s">
        <v>210</v>
      </c>
      <c r="C23" s="350"/>
      <c r="D23" s="238" t="s">
        <v>174</v>
      </c>
      <c r="E23" s="143" t="s">
        <v>211</v>
      </c>
      <c r="F23" s="364"/>
      <c r="G23" s="364"/>
      <c r="H23" s="364"/>
      <c r="I23" s="364"/>
      <c r="J23" s="364"/>
      <c r="K23" s="365"/>
    </row>
    <row r="24" spans="1:11" x14ac:dyDescent="0.25">
      <c r="A24" s="144" t="s">
        <v>175</v>
      </c>
      <c r="B24" s="149" t="s">
        <v>376</v>
      </c>
      <c r="C24" s="146">
        <f>1/9000</f>
        <v>1.1111E-4</v>
      </c>
      <c r="D24" s="147">
        <f>'Auxiliar de Limpeza - Diurno'!E112</f>
        <v>7146.42</v>
      </c>
      <c r="E24" s="148">
        <f>D24*C24</f>
        <v>0.79</v>
      </c>
      <c r="F24" s="364"/>
      <c r="G24" s="364"/>
      <c r="H24" s="364"/>
      <c r="I24" s="364"/>
      <c r="J24" s="364"/>
      <c r="K24" s="365"/>
    </row>
    <row r="25" spans="1:11" x14ac:dyDescent="0.25">
      <c r="A25" s="144" t="s">
        <v>177</v>
      </c>
      <c r="B25" s="145" t="s">
        <v>377</v>
      </c>
      <c r="C25" s="146">
        <f>1/(30*9000)</f>
        <v>3.7000000000000002E-6</v>
      </c>
      <c r="D25" s="147">
        <f>'Encarregado - Diurno'!E112</f>
        <v>9118.34</v>
      </c>
      <c r="E25" s="148">
        <f>D25*C25</f>
        <v>0.03</v>
      </c>
      <c r="F25" s="364"/>
      <c r="G25" s="364"/>
      <c r="H25" s="364"/>
      <c r="I25" s="364"/>
      <c r="J25" s="364"/>
      <c r="K25" s="365"/>
    </row>
    <row r="26" spans="1:11" ht="15.75" thickBot="1" x14ac:dyDescent="0.3">
      <c r="A26" s="351" t="s">
        <v>178</v>
      </c>
      <c r="B26" s="352"/>
      <c r="C26" s="352"/>
      <c r="D26" s="352"/>
      <c r="E26" s="156">
        <f>SUM(E24:E25)</f>
        <v>0.82</v>
      </c>
      <c r="F26" s="364"/>
      <c r="G26" s="364"/>
      <c r="H26" s="364"/>
      <c r="I26" s="364"/>
      <c r="J26" s="364"/>
      <c r="K26" s="365"/>
    </row>
    <row r="27" spans="1:11" ht="15" customHeight="1" thickBot="1" x14ac:dyDescent="0.3">
      <c r="A27" s="337" t="s">
        <v>229</v>
      </c>
      <c r="B27" s="338"/>
      <c r="C27" s="338"/>
      <c r="D27" s="338"/>
      <c r="E27" s="338"/>
      <c r="F27" s="338"/>
      <c r="G27" s="338"/>
      <c r="H27" s="338"/>
      <c r="I27" s="338"/>
      <c r="J27" s="338"/>
      <c r="K27" s="339"/>
    </row>
    <row r="28" spans="1:11" ht="15" customHeight="1" x14ac:dyDescent="0.25">
      <c r="A28" s="332" t="s">
        <v>264</v>
      </c>
      <c r="B28" s="333"/>
      <c r="C28" s="333"/>
      <c r="D28" s="333"/>
      <c r="E28" s="333"/>
      <c r="F28" s="333"/>
      <c r="G28" s="333"/>
      <c r="H28" s="334"/>
      <c r="I28" s="326"/>
      <c r="J28" s="326"/>
      <c r="K28" s="327"/>
    </row>
    <row r="29" spans="1:11" ht="80.099999999999994" customHeight="1" x14ac:dyDescent="0.25">
      <c r="A29" s="123" t="s">
        <v>173</v>
      </c>
      <c r="B29" s="322" t="s">
        <v>210</v>
      </c>
      <c r="C29" s="323"/>
      <c r="D29" s="237" t="s">
        <v>180</v>
      </c>
      <c r="E29" s="237" t="s">
        <v>181</v>
      </c>
      <c r="F29" s="237" t="s">
        <v>182</v>
      </c>
      <c r="G29" s="237" t="s">
        <v>183</v>
      </c>
      <c r="H29" s="150" t="s">
        <v>212</v>
      </c>
      <c r="I29" s="328"/>
      <c r="J29" s="328"/>
      <c r="K29" s="329"/>
    </row>
    <row r="30" spans="1:11" ht="15" customHeight="1" x14ac:dyDescent="0.25">
      <c r="A30" s="124" t="s">
        <v>175</v>
      </c>
      <c r="B30" s="73" t="s">
        <v>378</v>
      </c>
      <c r="C30" s="74">
        <f>1/380</f>
        <v>2.6315800000000001E-3</v>
      </c>
      <c r="D30" s="73">
        <v>16</v>
      </c>
      <c r="E30" s="73">
        <f>1/188.76</f>
        <v>5.2977325704598403E-3</v>
      </c>
      <c r="F30" s="113">
        <f>C30*D30*E30</f>
        <v>2.231E-4</v>
      </c>
      <c r="G30" s="75">
        <f>'Auxiliar de Limpeza - Diurno'!E112</f>
        <v>7146.42</v>
      </c>
      <c r="H30" s="151">
        <f>G30*F30</f>
        <v>1.59</v>
      </c>
      <c r="I30" s="328"/>
      <c r="J30" s="328"/>
      <c r="K30" s="329"/>
    </row>
    <row r="31" spans="1:11" ht="15" customHeight="1" x14ac:dyDescent="0.25">
      <c r="A31" s="124" t="s">
        <v>177</v>
      </c>
      <c r="B31" s="73" t="s">
        <v>379</v>
      </c>
      <c r="C31" s="74">
        <f>1/(30*380)</f>
        <v>8.7719999999999994E-5</v>
      </c>
      <c r="D31" s="73">
        <v>16</v>
      </c>
      <c r="E31" s="73">
        <f>1/188.76</f>
        <v>5.2977325704598403E-3</v>
      </c>
      <c r="F31" s="113">
        <f>C31*D31*E31</f>
        <v>7.4000000000000003E-6</v>
      </c>
      <c r="G31" s="75">
        <f>'Encarregado - Diurno'!E112</f>
        <v>9118.34</v>
      </c>
      <c r="H31" s="151">
        <f>ROUND(F31*G31,2)</f>
        <v>7.0000000000000007E-2</v>
      </c>
      <c r="I31" s="328"/>
      <c r="J31" s="328"/>
      <c r="K31" s="329"/>
    </row>
    <row r="32" spans="1:11" ht="15" customHeight="1" thickBot="1" x14ac:dyDescent="0.3">
      <c r="A32" s="324" t="s">
        <v>178</v>
      </c>
      <c r="B32" s="325"/>
      <c r="C32" s="325"/>
      <c r="D32" s="325"/>
      <c r="E32" s="325"/>
      <c r="F32" s="325"/>
      <c r="G32" s="325"/>
      <c r="H32" s="152">
        <f>SUM(H30:H31)</f>
        <v>1.66</v>
      </c>
      <c r="I32" s="328"/>
      <c r="J32" s="328"/>
      <c r="K32" s="329"/>
    </row>
    <row r="33" spans="1:11" ht="15" customHeight="1" thickBot="1" x14ac:dyDescent="0.3">
      <c r="A33" s="335"/>
      <c r="B33" s="336"/>
      <c r="C33" s="336"/>
      <c r="D33" s="336"/>
      <c r="E33" s="336"/>
      <c r="F33" s="336"/>
      <c r="G33" s="336"/>
      <c r="H33" s="336"/>
      <c r="I33" s="328"/>
      <c r="J33" s="328"/>
      <c r="K33" s="329"/>
    </row>
    <row r="34" spans="1:11" ht="15" customHeight="1" x14ac:dyDescent="0.25">
      <c r="A34" s="332" t="s">
        <v>371</v>
      </c>
      <c r="B34" s="333"/>
      <c r="C34" s="333"/>
      <c r="D34" s="333"/>
      <c r="E34" s="333"/>
      <c r="F34" s="333"/>
      <c r="G34" s="333"/>
      <c r="H34" s="334"/>
      <c r="I34" s="328"/>
      <c r="J34" s="328"/>
      <c r="K34" s="329"/>
    </row>
    <row r="35" spans="1:11" ht="80.099999999999994" customHeight="1" x14ac:dyDescent="0.25">
      <c r="A35" s="123" t="s">
        <v>173</v>
      </c>
      <c r="B35" s="322" t="s">
        <v>210</v>
      </c>
      <c r="C35" s="323"/>
      <c r="D35" s="237" t="s">
        <v>180</v>
      </c>
      <c r="E35" s="237" t="s">
        <v>181</v>
      </c>
      <c r="F35" s="237" t="s">
        <v>182</v>
      </c>
      <c r="G35" s="237" t="s">
        <v>183</v>
      </c>
      <c r="H35" s="150" t="s">
        <v>212</v>
      </c>
      <c r="I35" s="328"/>
      <c r="J35" s="328"/>
      <c r="K35" s="329"/>
    </row>
    <row r="36" spans="1:11" ht="15" customHeight="1" x14ac:dyDescent="0.25">
      <c r="A36" s="124" t="s">
        <v>175</v>
      </c>
      <c r="B36" s="73" t="s">
        <v>378</v>
      </c>
      <c r="C36" s="74">
        <f>1/380</f>
        <v>2.6315800000000001E-3</v>
      </c>
      <c r="D36" s="73">
        <v>16</v>
      </c>
      <c r="E36" s="73">
        <f>1/188.76</f>
        <v>5.2977325704598403E-3</v>
      </c>
      <c r="F36" s="113">
        <f>C36*D36*E36</f>
        <v>2.231E-4</v>
      </c>
      <c r="G36" s="75">
        <f>'Auxiliar de Limpeza - Diurno'!E112</f>
        <v>7146.42</v>
      </c>
      <c r="H36" s="151">
        <f>G36*F36</f>
        <v>1.59</v>
      </c>
      <c r="I36" s="328"/>
      <c r="J36" s="328"/>
      <c r="K36" s="329"/>
    </row>
    <row r="37" spans="1:11" ht="15" customHeight="1" x14ac:dyDescent="0.25">
      <c r="A37" s="124" t="s">
        <v>177</v>
      </c>
      <c r="B37" s="73" t="s">
        <v>379</v>
      </c>
      <c r="C37" s="74">
        <f>1/(30*380)</f>
        <v>8.7719999999999994E-5</v>
      </c>
      <c r="D37" s="73">
        <v>16</v>
      </c>
      <c r="E37" s="73">
        <f>1/188.76</f>
        <v>5.2977325704598403E-3</v>
      </c>
      <c r="F37" s="113">
        <f>C37*D37*E37</f>
        <v>7.4000000000000003E-6</v>
      </c>
      <c r="G37" s="75">
        <f>'Encarregado - Diurno'!E112</f>
        <v>9118.34</v>
      </c>
      <c r="H37" s="151">
        <f>ROUND(F37*G37,2)</f>
        <v>7.0000000000000007E-2</v>
      </c>
      <c r="I37" s="328"/>
      <c r="J37" s="328"/>
      <c r="K37" s="329"/>
    </row>
    <row r="38" spans="1:11" ht="15" customHeight="1" thickBot="1" x14ac:dyDescent="0.3">
      <c r="A38" s="324" t="s">
        <v>178</v>
      </c>
      <c r="B38" s="325"/>
      <c r="C38" s="325"/>
      <c r="D38" s="325"/>
      <c r="E38" s="325"/>
      <c r="F38" s="325"/>
      <c r="G38" s="325"/>
      <c r="H38" s="152">
        <f>SUM(H36:H37)</f>
        <v>1.66</v>
      </c>
      <c r="I38" s="328"/>
      <c r="J38" s="328"/>
      <c r="K38" s="329"/>
    </row>
    <row r="39" spans="1:11" ht="15.75" thickBot="1" x14ac:dyDescent="0.3">
      <c r="A39" s="293"/>
      <c r="B39" s="294"/>
      <c r="C39" s="294"/>
      <c r="D39" s="294"/>
      <c r="E39" s="294"/>
      <c r="F39" s="294"/>
      <c r="G39" s="294"/>
      <c r="H39" s="294"/>
      <c r="I39" s="328"/>
      <c r="J39" s="328"/>
      <c r="K39" s="329"/>
    </row>
    <row r="40" spans="1:11" x14ac:dyDescent="0.25">
      <c r="A40" s="332" t="s">
        <v>372</v>
      </c>
      <c r="B40" s="333"/>
      <c r="C40" s="333"/>
      <c r="D40" s="333"/>
      <c r="E40" s="333"/>
      <c r="F40" s="333"/>
      <c r="G40" s="333"/>
      <c r="H40" s="334"/>
      <c r="I40" s="328"/>
      <c r="J40" s="328"/>
      <c r="K40" s="329"/>
    </row>
    <row r="41" spans="1:11" ht="75" x14ac:dyDescent="0.25">
      <c r="A41" s="123" t="s">
        <v>173</v>
      </c>
      <c r="B41" s="322" t="s">
        <v>210</v>
      </c>
      <c r="C41" s="323"/>
      <c r="D41" s="237" t="s">
        <v>180</v>
      </c>
      <c r="E41" s="237" t="s">
        <v>181</v>
      </c>
      <c r="F41" s="237" t="s">
        <v>182</v>
      </c>
      <c r="G41" s="237" t="s">
        <v>183</v>
      </c>
      <c r="H41" s="150" t="s">
        <v>212</v>
      </c>
      <c r="I41" s="328"/>
      <c r="J41" s="328"/>
      <c r="K41" s="329"/>
    </row>
    <row r="42" spans="1:11" x14ac:dyDescent="0.25">
      <c r="A42" s="124" t="s">
        <v>175</v>
      </c>
      <c r="B42" s="73" t="s">
        <v>378</v>
      </c>
      <c r="C42" s="74">
        <f>1/380</f>
        <v>2.6315800000000001E-3</v>
      </c>
      <c r="D42" s="73">
        <v>16</v>
      </c>
      <c r="E42" s="73">
        <f>1/188.76</f>
        <v>5.2977325704598403E-3</v>
      </c>
      <c r="F42" s="113">
        <f>C42*D42*E42</f>
        <v>2.231E-4</v>
      </c>
      <c r="G42" s="75">
        <f>'Auxiliar de Limpeza - Diurno'!E112</f>
        <v>7146.42</v>
      </c>
      <c r="H42" s="151">
        <f>G42*F42</f>
        <v>1.59</v>
      </c>
      <c r="I42" s="328"/>
      <c r="J42" s="328"/>
      <c r="K42" s="329"/>
    </row>
    <row r="43" spans="1:11" x14ac:dyDescent="0.25">
      <c r="A43" s="124" t="s">
        <v>177</v>
      </c>
      <c r="B43" s="73" t="s">
        <v>379</v>
      </c>
      <c r="C43" s="74">
        <f>1/(30*380)</f>
        <v>8.7719999999999994E-5</v>
      </c>
      <c r="D43" s="73">
        <v>16</v>
      </c>
      <c r="E43" s="73">
        <f>1/188.76</f>
        <v>5.2977325704598403E-3</v>
      </c>
      <c r="F43" s="113">
        <f>C43*D43*E43</f>
        <v>7.4000000000000003E-6</v>
      </c>
      <c r="G43" s="75">
        <f>'Encarregado - Diurno'!E112</f>
        <v>9118.34</v>
      </c>
      <c r="H43" s="151">
        <f>ROUND(F43*G43,2)</f>
        <v>7.0000000000000007E-2</v>
      </c>
      <c r="I43" s="328"/>
      <c r="J43" s="328"/>
      <c r="K43" s="329"/>
    </row>
    <row r="44" spans="1:11" ht="15.75" thickBot="1" x14ac:dyDescent="0.3">
      <c r="A44" s="324" t="s">
        <v>178</v>
      </c>
      <c r="B44" s="325"/>
      <c r="C44" s="325"/>
      <c r="D44" s="325"/>
      <c r="E44" s="325"/>
      <c r="F44" s="325"/>
      <c r="G44" s="325"/>
      <c r="H44" s="152">
        <f>SUM(H42:H43)</f>
        <v>1.66</v>
      </c>
      <c r="I44" s="328"/>
      <c r="J44" s="328"/>
      <c r="K44" s="329"/>
    </row>
    <row r="45" spans="1:11" ht="15.75" thickBot="1" x14ac:dyDescent="0.3">
      <c r="A45" s="335"/>
      <c r="B45" s="336"/>
      <c r="C45" s="336"/>
      <c r="D45" s="336"/>
      <c r="E45" s="336"/>
      <c r="F45" s="336"/>
      <c r="G45" s="336"/>
      <c r="H45" s="336"/>
      <c r="I45" s="328"/>
      <c r="J45" s="328"/>
      <c r="K45" s="329"/>
    </row>
    <row r="46" spans="1:11" x14ac:dyDescent="0.25">
      <c r="A46" s="332" t="s">
        <v>373</v>
      </c>
      <c r="B46" s="333"/>
      <c r="C46" s="333"/>
      <c r="D46" s="333"/>
      <c r="E46" s="333"/>
      <c r="F46" s="333"/>
      <c r="G46" s="333"/>
      <c r="H46" s="334"/>
      <c r="I46" s="328"/>
      <c r="J46" s="328"/>
      <c r="K46" s="329"/>
    </row>
    <row r="47" spans="1:11" ht="75" x14ac:dyDescent="0.25">
      <c r="A47" s="123" t="s">
        <v>173</v>
      </c>
      <c r="B47" s="322" t="s">
        <v>210</v>
      </c>
      <c r="C47" s="323"/>
      <c r="D47" s="237" t="s">
        <v>180</v>
      </c>
      <c r="E47" s="237" t="s">
        <v>181</v>
      </c>
      <c r="F47" s="237" t="s">
        <v>182</v>
      </c>
      <c r="G47" s="237" t="s">
        <v>183</v>
      </c>
      <c r="H47" s="150" t="s">
        <v>212</v>
      </c>
      <c r="I47" s="328"/>
      <c r="J47" s="328"/>
      <c r="K47" s="329"/>
    </row>
    <row r="48" spans="1:11" x14ac:dyDescent="0.25">
      <c r="A48" s="124" t="s">
        <v>175</v>
      </c>
      <c r="B48" s="73" t="s">
        <v>380</v>
      </c>
      <c r="C48" s="74">
        <f>1/160</f>
        <v>6.2500000000000003E-3</v>
      </c>
      <c r="D48" s="73">
        <v>16</v>
      </c>
      <c r="E48" s="73">
        <f>1/188.76</f>
        <v>5.2977325704598403E-3</v>
      </c>
      <c r="F48" s="113">
        <f>C48*D48*E48</f>
        <v>5.2979999999999998E-4</v>
      </c>
      <c r="G48" s="75">
        <f>'Auxiliar de Limpeza - Diurno'!E112</f>
        <v>7146.42</v>
      </c>
      <c r="H48" s="151">
        <f>G48*F48</f>
        <v>3.79</v>
      </c>
      <c r="I48" s="328"/>
      <c r="J48" s="328"/>
      <c r="K48" s="329"/>
    </row>
    <row r="49" spans="1:11" x14ac:dyDescent="0.25">
      <c r="A49" s="124" t="s">
        <v>177</v>
      </c>
      <c r="B49" s="73" t="s">
        <v>381</v>
      </c>
      <c r="C49" s="74">
        <f>1/(30*160)</f>
        <v>2.0833000000000001E-4</v>
      </c>
      <c r="D49" s="73">
        <v>16</v>
      </c>
      <c r="E49" s="73">
        <f>1/188.76</f>
        <v>5.2977325704598403E-3</v>
      </c>
      <c r="F49" s="113">
        <f>C49*D49*E49</f>
        <v>1.77E-5</v>
      </c>
      <c r="G49" s="75">
        <f>'Encarregado - Diurno'!E112</f>
        <v>9118.34</v>
      </c>
      <c r="H49" s="151">
        <f>ROUND(F49*G49,2)</f>
        <v>0.16</v>
      </c>
      <c r="I49" s="328"/>
      <c r="J49" s="328"/>
      <c r="K49" s="329"/>
    </row>
    <row r="50" spans="1:11" ht="15.75" thickBot="1" x14ac:dyDescent="0.3">
      <c r="A50" s="324" t="s">
        <v>178</v>
      </c>
      <c r="B50" s="325"/>
      <c r="C50" s="325"/>
      <c r="D50" s="325"/>
      <c r="E50" s="325"/>
      <c r="F50" s="325"/>
      <c r="G50" s="325"/>
      <c r="H50" s="152">
        <f>SUM(H48:H49)</f>
        <v>3.95</v>
      </c>
      <c r="I50" s="330"/>
      <c r="J50" s="330"/>
      <c r="K50" s="331"/>
    </row>
  </sheetData>
  <mergeCells count="42">
    <mergeCell ref="A26:D26"/>
    <mergeCell ref="G16:K16"/>
    <mergeCell ref="B35:C35"/>
    <mergeCell ref="A28:H28"/>
    <mergeCell ref="A34:H34"/>
    <mergeCell ref="B29:C29"/>
    <mergeCell ref="A20:D20"/>
    <mergeCell ref="G20:J20"/>
    <mergeCell ref="B23:C23"/>
    <mergeCell ref="A16:E16"/>
    <mergeCell ref="A27:K27"/>
    <mergeCell ref="H17:I17"/>
    <mergeCell ref="F21:K26"/>
    <mergeCell ref="A22:E22"/>
    <mergeCell ref="A14:D14"/>
    <mergeCell ref="G14:J14"/>
    <mergeCell ref="H11:I11"/>
    <mergeCell ref="G10:K10"/>
    <mergeCell ref="B17:C17"/>
    <mergeCell ref="A10:E10"/>
    <mergeCell ref="B11:C11"/>
    <mergeCell ref="A15:K15"/>
    <mergeCell ref="A1:K1"/>
    <mergeCell ref="A8:D8"/>
    <mergeCell ref="A3:K3"/>
    <mergeCell ref="A4:E4"/>
    <mergeCell ref="B5:C5"/>
    <mergeCell ref="G8:J8"/>
    <mergeCell ref="G4:K4"/>
    <mergeCell ref="H5:I5"/>
    <mergeCell ref="B47:C47"/>
    <mergeCell ref="A50:G50"/>
    <mergeCell ref="I28:K50"/>
    <mergeCell ref="A39:H39"/>
    <mergeCell ref="A40:H40"/>
    <mergeCell ref="B41:C41"/>
    <mergeCell ref="A44:G44"/>
    <mergeCell ref="A45:H45"/>
    <mergeCell ref="A46:H46"/>
    <mergeCell ref="A33:H33"/>
    <mergeCell ref="A32:G32"/>
    <mergeCell ref="A38:G38"/>
  </mergeCells>
  <pageMargins left="0.7" right="0.7" top="0.75" bottom="0.75" header="0.3" footer="0.3"/>
  <pageSetup paperSize="9" scale="5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4"/>
  <sheetViews>
    <sheetView view="pageBreakPreview" topLeftCell="A28" zoomScaleNormal="115" zoomScaleSheetLayoutView="100" workbookViewId="0">
      <selection activeCell="F44" sqref="F44"/>
    </sheetView>
  </sheetViews>
  <sheetFormatPr defaultColWidth="9.140625" defaultRowHeight="15.75" x14ac:dyDescent="0.25"/>
  <cols>
    <col min="1" max="1" width="4.42578125" style="33" bestFit="1" customWidth="1"/>
    <col min="2" max="2" width="72.7109375" style="35" customWidth="1"/>
    <col min="3" max="3" width="20.7109375" style="35" customWidth="1"/>
    <col min="4" max="4" width="8.7109375" style="36" customWidth="1"/>
    <col min="5" max="5" width="15.7109375" style="41" customWidth="1"/>
    <col min="6" max="16384" width="9.140625" style="32"/>
  </cols>
  <sheetData>
    <row r="1" spans="1:5" x14ac:dyDescent="0.25">
      <c r="A1" s="386"/>
      <c r="B1" s="387"/>
      <c r="C1" s="387"/>
      <c r="D1" s="387"/>
      <c r="E1" s="388"/>
    </row>
    <row r="2" spans="1:5" s="45" customFormat="1" ht="16.5" customHeight="1" thickBot="1" x14ac:dyDescent="0.3">
      <c r="A2" s="420"/>
      <c r="B2" s="421"/>
      <c r="C2" s="421"/>
      <c r="D2" s="421"/>
      <c r="E2" s="422"/>
    </row>
    <row r="3" spans="1:5" s="45" customFormat="1" x14ac:dyDescent="0.25">
      <c r="A3" s="426" t="s">
        <v>128</v>
      </c>
      <c r="B3" s="427"/>
      <c r="C3" s="427"/>
      <c r="D3" s="427"/>
      <c r="E3" s="428"/>
    </row>
    <row r="4" spans="1:5" s="45" customFormat="1" ht="15" customHeight="1" x14ac:dyDescent="0.25">
      <c r="A4" s="52" t="s">
        <v>0</v>
      </c>
      <c r="B4" s="53" t="s">
        <v>1</v>
      </c>
      <c r="C4" s="423">
        <v>2024</v>
      </c>
      <c r="D4" s="424"/>
      <c r="E4" s="425"/>
    </row>
    <row r="5" spans="1:5" s="45" customFormat="1" ht="60" customHeight="1" x14ac:dyDescent="0.25">
      <c r="A5" s="52" t="s">
        <v>2</v>
      </c>
      <c r="B5" s="53" t="s">
        <v>137</v>
      </c>
      <c r="C5" s="389" t="s">
        <v>240</v>
      </c>
      <c r="D5" s="390"/>
      <c r="E5" s="391"/>
    </row>
    <row r="6" spans="1:5" s="45" customFormat="1" ht="15.75" customHeight="1" x14ac:dyDescent="0.25">
      <c r="A6" s="52" t="s">
        <v>3</v>
      </c>
      <c r="B6" s="53" t="s">
        <v>4</v>
      </c>
      <c r="C6" s="389" t="s">
        <v>391</v>
      </c>
      <c r="D6" s="390"/>
      <c r="E6" s="391"/>
    </row>
    <row r="7" spans="1:5" s="45" customFormat="1" x14ac:dyDescent="0.25">
      <c r="A7" s="52"/>
      <c r="B7" s="53" t="s">
        <v>209</v>
      </c>
      <c r="C7" s="389">
        <v>12</v>
      </c>
      <c r="D7" s="390"/>
      <c r="E7" s="391"/>
    </row>
    <row r="8" spans="1:5" s="45" customFormat="1" x14ac:dyDescent="0.25">
      <c r="A8" s="429" t="s">
        <v>6</v>
      </c>
      <c r="B8" s="430"/>
      <c r="C8" s="430"/>
      <c r="D8" s="430"/>
      <c r="E8" s="431"/>
    </row>
    <row r="9" spans="1:5" s="45" customFormat="1" x14ac:dyDescent="0.25">
      <c r="A9" s="432" t="s">
        <v>7</v>
      </c>
      <c r="B9" s="433"/>
      <c r="C9" s="433"/>
      <c r="D9" s="433"/>
      <c r="E9" s="434"/>
    </row>
    <row r="10" spans="1:5" s="45" customFormat="1" ht="15.75" customHeight="1" x14ac:dyDescent="0.25">
      <c r="A10" s="417" t="s">
        <v>8</v>
      </c>
      <c r="B10" s="418"/>
      <c r="C10" s="418"/>
      <c r="D10" s="418"/>
      <c r="E10" s="419"/>
    </row>
    <row r="11" spans="1:5" s="45" customFormat="1" ht="30" customHeight="1" x14ac:dyDescent="0.25">
      <c r="A11" s="440" t="s">
        <v>9</v>
      </c>
      <c r="B11" s="441"/>
      <c r="C11" s="441"/>
      <c r="D11" s="442"/>
      <c r="E11" s="200" t="s">
        <v>10</v>
      </c>
    </row>
    <row r="12" spans="1:5" s="45" customFormat="1" ht="15.75" customHeight="1" x14ac:dyDescent="0.25">
      <c r="A12" s="52">
        <v>1</v>
      </c>
      <c r="B12" s="54" t="s">
        <v>129</v>
      </c>
      <c r="C12" s="435" t="s">
        <v>244</v>
      </c>
      <c r="D12" s="436"/>
      <c r="E12" s="437"/>
    </row>
    <row r="13" spans="1:5" s="45" customFormat="1" ht="30" customHeight="1" x14ac:dyDescent="0.25">
      <c r="A13" s="52">
        <v>2</v>
      </c>
      <c r="B13" s="54" t="s">
        <v>11</v>
      </c>
      <c r="C13" s="446">
        <v>1618.08</v>
      </c>
      <c r="D13" s="447"/>
      <c r="E13" s="448"/>
    </row>
    <row r="14" spans="1:5" s="45" customFormat="1" ht="15.75" customHeight="1" x14ac:dyDescent="0.25">
      <c r="A14" s="52">
        <v>3</v>
      </c>
      <c r="B14" s="54" t="s">
        <v>12</v>
      </c>
      <c r="C14" s="435" t="s">
        <v>241</v>
      </c>
      <c r="D14" s="436"/>
      <c r="E14" s="437"/>
    </row>
    <row r="15" spans="1:5" s="45" customFormat="1" x14ac:dyDescent="0.25">
      <c r="A15" s="52">
        <v>4</v>
      </c>
      <c r="B15" s="55" t="s">
        <v>13</v>
      </c>
      <c r="C15" s="443">
        <v>2024</v>
      </c>
      <c r="D15" s="444"/>
      <c r="E15" s="445"/>
    </row>
    <row r="16" spans="1:5" s="46" customFormat="1" x14ac:dyDescent="0.25">
      <c r="A16" s="374" t="s">
        <v>14</v>
      </c>
      <c r="B16" s="375"/>
      <c r="C16" s="375"/>
      <c r="D16" s="375"/>
      <c r="E16" s="376"/>
    </row>
    <row r="17" spans="1:5" s="46" customFormat="1" x14ac:dyDescent="0.25">
      <c r="A17" s="56">
        <v>1</v>
      </c>
      <c r="B17" s="414" t="s">
        <v>15</v>
      </c>
      <c r="C17" s="415"/>
      <c r="D17" s="416"/>
      <c r="E17" s="87" t="s">
        <v>10</v>
      </c>
    </row>
    <row r="18" spans="1:5" s="45" customFormat="1" ht="15.75" customHeight="1" x14ac:dyDescent="0.25">
      <c r="A18" s="57" t="s">
        <v>0</v>
      </c>
      <c r="B18" s="273" t="s">
        <v>16</v>
      </c>
      <c r="C18" s="438"/>
      <c r="D18" s="439"/>
      <c r="E18" s="88">
        <f>C13</f>
        <v>1618.08</v>
      </c>
    </row>
    <row r="19" spans="1:5" s="45" customFormat="1" ht="15.75" customHeight="1" x14ac:dyDescent="0.25">
      <c r="A19" s="57" t="s">
        <v>2</v>
      </c>
      <c r="B19" s="273" t="s">
        <v>17</v>
      </c>
      <c r="C19" s="410" t="s">
        <v>18</v>
      </c>
      <c r="D19" s="411"/>
      <c r="E19" s="89"/>
    </row>
    <row r="20" spans="1:5" s="45" customFormat="1" ht="15.75" customHeight="1" x14ac:dyDescent="0.25">
      <c r="A20" s="57" t="s">
        <v>3</v>
      </c>
      <c r="B20" s="273" t="s">
        <v>19</v>
      </c>
      <c r="C20" s="452" t="s">
        <v>358</v>
      </c>
      <c r="D20" s="453"/>
      <c r="E20" s="89">
        <f>40%*1412</f>
        <v>564.79999999999995</v>
      </c>
    </row>
    <row r="21" spans="1:5" s="45" customFormat="1" ht="15.75" customHeight="1" x14ac:dyDescent="0.25">
      <c r="A21" s="57" t="s">
        <v>5</v>
      </c>
      <c r="B21" s="273" t="s">
        <v>20</v>
      </c>
      <c r="C21" s="410" t="s">
        <v>21</v>
      </c>
      <c r="D21" s="411"/>
      <c r="E21" s="89"/>
    </row>
    <row r="22" spans="1:5" s="45" customFormat="1" ht="15.75" customHeight="1" x14ac:dyDescent="0.25">
      <c r="A22" s="57" t="s">
        <v>22</v>
      </c>
      <c r="B22" s="273" t="s">
        <v>213</v>
      </c>
      <c r="C22" s="410" t="s">
        <v>23</v>
      </c>
      <c r="D22" s="411"/>
      <c r="E22" s="89"/>
    </row>
    <row r="23" spans="1:5" s="45" customFormat="1" x14ac:dyDescent="0.25">
      <c r="A23" s="57" t="s">
        <v>24</v>
      </c>
      <c r="B23" s="273" t="s">
        <v>134</v>
      </c>
      <c r="C23" s="412"/>
      <c r="D23" s="413"/>
      <c r="E23" s="89"/>
    </row>
    <row r="24" spans="1:5" s="45" customFormat="1" ht="15.75" customHeight="1" x14ac:dyDescent="0.25">
      <c r="A24" s="57" t="s">
        <v>25</v>
      </c>
      <c r="B24" s="274" t="s">
        <v>135</v>
      </c>
      <c r="C24" s="412"/>
      <c r="D24" s="413"/>
      <c r="E24" s="89"/>
    </row>
    <row r="25" spans="1:5" s="46" customFormat="1" ht="15.75" customHeight="1" x14ac:dyDescent="0.25">
      <c r="A25" s="377" t="s">
        <v>158</v>
      </c>
      <c r="B25" s="378"/>
      <c r="C25" s="378"/>
      <c r="D25" s="379"/>
      <c r="E25" s="90">
        <f>SUM(E18:E24)</f>
        <v>2182.88</v>
      </c>
    </row>
    <row r="26" spans="1:5" s="46" customFormat="1" x14ac:dyDescent="0.25">
      <c r="A26" s="374" t="s">
        <v>50</v>
      </c>
      <c r="B26" s="375"/>
      <c r="C26" s="375"/>
      <c r="D26" s="375"/>
      <c r="E26" s="376"/>
    </row>
    <row r="27" spans="1:5" s="45" customFormat="1" x14ac:dyDescent="0.25">
      <c r="A27" s="81">
        <v>2</v>
      </c>
      <c r="B27" s="275" t="s">
        <v>214</v>
      </c>
      <c r="C27" s="82" t="s">
        <v>204</v>
      </c>
      <c r="D27" s="83"/>
      <c r="E27" s="91" t="s">
        <v>10</v>
      </c>
    </row>
    <row r="28" spans="1:5" s="45" customFormat="1" x14ac:dyDescent="0.25">
      <c r="A28" s="59" t="s">
        <v>0</v>
      </c>
      <c r="B28" s="60" t="s">
        <v>33</v>
      </c>
      <c r="C28" s="48">
        <f>E25</f>
        <v>2182.88</v>
      </c>
      <c r="D28" s="63">
        <f>1/12</f>
        <v>8.3299999999999999E-2</v>
      </c>
      <c r="E28" s="84">
        <f>(C28)*D28</f>
        <v>181.83</v>
      </c>
    </row>
    <row r="29" spans="1:5" s="45" customFormat="1" x14ac:dyDescent="0.25">
      <c r="A29" s="59" t="s">
        <v>2</v>
      </c>
      <c r="B29" s="276" t="s">
        <v>394</v>
      </c>
      <c r="C29" s="48">
        <f>E25</f>
        <v>2182.88</v>
      </c>
      <c r="D29" s="63">
        <v>0.1111</v>
      </c>
      <c r="E29" s="84">
        <f>(C29)*D29</f>
        <v>242.52</v>
      </c>
    </row>
    <row r="30" spans="1:5" x14ac:dyDescent="0.25">
      <c r="A30" s="383" t="s">
        <v>31</v>
      </c>
      <c r="B30" s="384"/>
      <c r="C30" s="385"/>
      <c r="D30" s="86">
        <f>SUM(D28:D29)</f>
        <v>0.19439999999999999</v>
      </c>
      <c r="E30" s="85">
        <f>SUM(E28:E29)</f>
        <v>424.35</v>
      </c>
    </row>
    <row r="31" spans="1:5" ht="30" customHeight="1" x14ac:dyDescent="0.25">
      <c r="A31" s="454" t="s">
        <v>217</v>
      </c>
      <c r="B31" s="455"/>
      <c r="C31" s="455"/>
      <c r="D31" s="455"/>
      <c r="E31" s="456"/>
    </row>
    <row r="32" spans="1:5" x14ac:dyDescent="0.25">
      <c r="A32" s="271" t="s">
        <v>142</v>
      </c>
      <c r="B32" s="58" t="s">
        <v>29</v>
      </c>
      <c r="C32" s="47" t="s">
        <v>204</v>
      </c>
      <c r="D32" s="61"/>
      <c r="E32" s="92" t="s">
        <v>10</v>
      </c>
    </row>
    <row r="33" spans="1:5" x14ac:dyDescent="0.25">
      <c r="A33" s="59" t="s">
        <v>0</v>
      </c>
      <c r="B33" s="277" t="s">
        <v>398</v>
      </c>
      <c r="C33" s="48">
        <f>E$25+E$30</f>
        <v>2607.23</v>
      </c>
      <c r="D33" s="63">
        <v>0.2</v>
      </c>
      <c r="E33" s="84">
        <f t="shared" ref="E33:E40" si="0">C33*D33</f>
        <v>521.45000000000005</v>
      </c>
    </row>
    <row r="34" spans="1:5" x14ac:dyDescent="0.25">
      <c r="A34" s="59" t="s">
        <v>2</v>
      </c>
      <c r="B34" s="277" t="s">
        <v>399</v>
      </c>
      <c r="C34" s="48">
        <f>E$25+E$30</f>
        <v>2607.23</v>
      </c>
      <c r="D34" s="278">
        <v>1.4999999999999999E-2</v>
      </c>
      <c r="E34" s="84">
        <f t="shared" si="0"/>
        <v>39.11</v>
      </c>
    </row>
    <row r="35" spans="1:5" x14ac:dyDescent="0.25">
      <c r="A35" s="59" t="s">
        <v>3</v>
      </c>
      <c r="B35" s="277" t="s">
        <v>400</v>
      </c>
      <c r="C35" s="48">
        <f>E$25+E$30</f>
        <v>2607.23</v>
      </c>
      <c r="D35" s="278">
        <v>0.01</v>
      </c>
      <c r="E35" s="84">
        <f t="shared" si="0"/>
        <v>26.07</v>
      </c>
    </row>
    <row r="36" spans="1:5" ht="30" x14ac:dyDescent="0.25">
      <c r="A36" s="59" t="s">
        <v>5</v>
      </c>
      <c r="B36" s="279" t="s">
        <v>401</v>
      </c>
      <c r="C36" s="48">
        <f t="shared" ref="C36:C40" si="1">E$25+E$30</f>
        <v>2607.23</v>
      </c>
      <c r="D36" s="278">
        <v>2E-3</v>
      </c>
      <c r="E36" s="84">
        <f t="shared" si="0"/>
        <v>5.21</v>
      </c>
    </row>
    <row r="37" spans="1:5" x14ac:dyDescent="0.25">
      <c r="A37" s="59" t="s">
        <v>22</v>
      </c>
      <c r="B37" s="277" t="s">
        <v>402</v>
      </c>
      <c r="C37" s="48">
        <f t="shared" si="1"/>
        <v>2607.23</v>
      </c>
      <c r="D37" s="278">
        <v>2.5000000000000001E-2</v>
      </c>
      <c r="E37" s="84">
        <f t="shared" si="0"/>
        <v>65.180000000000007</v>
      </c>
    </row>
    <row r="38" spans="1:5" x14ac:dyDescent="0.25">
      <c r="A38" s="59" t="s">
        <v>24</v>
      </c>
      <c r="B38" s="280" t="s">
        <v>215</v>
      </c>
      <c r="C38" s="48">
        <f t="shared" si="1"/>
        <v>2607.23</v>
      </c>
      <c r="D38" s="278">
        <v>0.08</v>
      </c>
      <c r="E38" s="84">
        <f t="shared" si="0"/>
        <v>208.58</v>
      </c>
    </row>
    <row r="39" spans="1:5" ht="45" x14ac:dyDescent="0.25">
      <c r="A39" s="59" t="s">
        <v>25</v>
      </c>
      <c r="B39" s="279" t="s">
        <v>403</v>
      </c>
      <c r="C39" s="48">
        <f t="shared" si="1"/>
        <v>2607.23</v>
      </c>
      <c r="D39" s="278">
        <v>0.03</v>
      </c>
      <c r="E39" s="84">
        <f t="shared" si="0"/>
        <v>78.22</v>
      </c>
    </row>
    <row r="40" spans="1:5" x14ac:dyDescent="0.25">
      <c r="A40" s="59" t="s">
        <v>30</v>
      </c>
      <c r="B40" s="281" t="s">
        <v>216</v>
      </c>
      <c r="C40" s="48">
        <f t="shared" si="1"/>
        <v>2607.23</v>
      </c>
      <c r="D40" s="278">
        <v>6.0000000000000001E-3</v>
      </c>
      <c r="E40" s="84">
        <f t="shared" si="0"/>
        <v>15.64</v>
      </c>
    </row>
    <row r="41" spans="1:5" s="34" customFormat="1" x14ac:dyDescent="0.25">
      <c r="A41" s="383" t="s">
        <v>31</v>
      </c>
      <c r="B41" s="384"/>
      <c r="C41" s="385"/>
      <c r="D41" s="77">
        <f>SUM(D33:D40)</f>
        <v>0.36799999999999999</v>
      </c>
      <c r="E41" s="85">
        <f>SUM(E33:E40)</f>
        <v>959.46</v>
      </c>
    </row>
    <row r="42" spans="1:5" s="34" customFormat="1" x14ac:dyDescent="0.25">
      <c r="A42" s="380" t="s">
        <v>189</v>
      </c>
      <c r="B42" s="381"/>
      <c r="C42" s="381"/>
      <c r="D42" s="381"/>
      <c r="E42" s="382"/>
    </row>
    <row r="43" spans="1:5" s="34" customFormat="1" x14ac:dyDescent="0.25">
      <c r="A43" s="282" t="s">
        <v>207</v>
      </c>
      <c r="B43" s="283" t="s">
        <v>218</v>
      </c>
      <c r="C43" s="82" t="s">
        <v>204</v>
      </c>
      <c r="D43" s="83"/>
      <c r="E43" s="91" t="s">
        <v>10</v>
      </c>
    </row>
    <row r="44" spans="1:5" s="34" customFormat="1" x14ac:dyDescent="0.25">
      <c r="A44" s="284" t="s">
        <v>0</v>
      </c>
      <c r="B44" s="64" t="s">
        <v>152</v>
      </c>
      <c r="C44" s="93">
        <v>4.5</v>
      </c>
      <c r="D44" s="64"/>
      <c r="E44" s="94">
        <f>(32*C44)-(E18*6%)</f>
        <v>46.92</v>
      </c>
    </row>
    <row r="45" spans="1:5" s="34" customFormat="1" x14ac:dyDescent="0.25">
      <c r="A45" s="285" t="s">
        <v>2</v>
      </c>
      <c r="B45" s="274" t="s">
        <v>219</v>
      </c>
      <c r="C45" s="270" t="s">
        <v>392</v>
      </c>
      <c r="D45" s="65"/>
      <c r="E45" s="88">
        <f>581.85-(581.85*0.99%)</f>
        <v>576.09</v>
      </c>
    </row>
    <row r="46" spans="1:5" s="34" customFormat="1" x14ac:dyDescent="0.25">
      <c r="A46" s="59" t="s">
        <v>3</v>
      </c>
      <c r="B46" s="60" t="s">
        <v>130</v>
      </c>
      <c r="C46" s="49"/>
      <c r="D46" s="66"/>
      <c r="E46" s="95">
        <v>0</v>
      </c>
    </row>
    <row r="47" spans="1:5" s="34" customFormat="1" ht="30" x14ac:dyDescent="0.25">
      <c r="A47" s="59" t="s">
        <v>5</v>
      </c>
      <c r="B47" s="60" t="s">
        <v>131</v>
      </c>
      <c r="C47" s="49" t="s">
        <v>393</v>
      </c>
      <c r="D47" s="66"/>
      <c r="E47" s="95">
        <f>1618.08*50%*0.0199*2/12</f>
        <v>2.68</v>
      </c>
    </row>
    <row r="48" spans="1:5" s="34" customFormat="1" x14ac:dyDescent="0.25">
      <c r="A48" s="59" t="s">
        <v>22</v>
      </c>
      <c r="B48" s="60" t="s">
        <v>132</v>
      </c>
      <c r="C48" s="269"/>
      <c r="D48" s="66"/>
      <c r="E48" s="84">
        <v>45.8</v>
      </c>
    </row>
    <row r="49" spans="1:5" s="34" customFormat="1" ht="15.75" customHeight="1" x14ac:dyDescent="0.25">
      <c r="A49" s="383" t="s">
        <v>26</v>
      </c>
      <c r="B49" s="384"/>
      <c r="C49" s="384"/>
      <c r="D49" s="385"/>
      <c r="E49" s="85">
        <f>SUM(E44:E48)</f>
        <v>671.49</v>
      </c>
    </row>
    <row r="50" spans="1:5" s="34" customFormat="1" ht="15.75" customHeight="1" x14ac:dyDescent="0.25">
      <c r="A50" s="380" t="s">
        <v>157</v>
      </c>
      <c r="B50" s="381"/>
      <c r="C50" s="381"/>
      <c r="D50" s="381"/>
      <c r="E50" s="382"/>
    </row>
    <row r="51" spans="1:5" s="34" customFormat="1" ht="15.75" customHeight="1" x14ac:dyDescent="0.25">
      <c r="A51" s="56" t="s">
        <v>142</v>
      </c>
      <c r="B51" s="286" t="s">
        <v>153</v>
      </c>
      <c r="C51" s="68"/>
      <c r="D51" s="68"/>
      <c r="E51" s="96">
        <f>E30</f>
        <v>424.35</v>
      </c>
    </row>
    <row r="52" spans="1:5" s="34" customFormat="1" ht="15.75" customHeight="1" x14ac:dyDescent="0.25">
      <c r="A52" s="56" t="s">
        <v>143</v>
      </c>
      <c r="B52" s="286" t="s">
        <v>154</v>
      </c>
      <c r="C52" s="68"/>
      <c r="D52" s="68"/>
      <c r="E52" s="96">
        <f>E41</f>
        <v>959.46</v>
      </c>
    </row>
    <row r="53" spans="1:5" s="34" customFormat="1" ht="15.75" customHeight="1" x14ac:dyDescent="0.25">
      <c r="A53" s="56" t="s">
        <v>207</v>
      </c>
      <c r="B53" s="286" t="s">
        <v>155</v>
      </c>
      <c r="C53" s="68"/>
      <c r="D53" s="68"/>
      <c r="E53" s="96">
        <f>E49</f>
        <v>671.49</v>
      </c>
    </row>
    <row r="54" spans="1:5" s="34" customFormat="1" ht="15.75" customHeight="1" x14ac:dyDescent="0.25">
      <c r="A54" s="371" t="s">
        <v>159</v>
      </c>
      <c r="B54" s="372"/>
      <c r="C54" s="372"/>
      <c r="D54" s="373"/>
      <c r="E54" s="90">
        <f>SUM(E51:E53)</f>
        <v>2055.3000000000002</v>
      </c>
    </row>
    <row r="55" spans="1:5" s="34" customFormat="1" ht="15.75" customHeight="1" x14ac:dyDescent="0.25">
      <c r="A55" s="374" t="s">
        <v>168</v>
      </c>
      <c r="B55" s="375"/>
      <c r="C55" s="375"/>
      <c r="D55" s="375"/>
      <c r="E55" s="376"/>
    </row>
    <row r="56" spans="1:5" s="34" customFormat="1" ht="30" customHeight="1" x14ac:dyDescent="0.25">
      <c r="A56" s="271" t="s">
        <v>220</v>
      </c>
      <c r="B56" s="287" t="s">
        <v>34</v>
      </c>
      <c r="C56" s="201" t="s">
        <v>204</v>
      </c>
      <c r="D56" s="76"/>
      <c r="E56" s="92" t="s">
        <v>10</v>
      </c>
    </row>
    <row r="57" spans="1:5" s="34" customFormat="1" ht="15.75" customHeight="1" x14ac:dyDescent="0.25">
      <c r="A57" s="59" t="s">
        <v>0</v>
      </c>
      <c r="B57" s="60" t="s">
        <v>35</v>
      </c>
      <c r="C57" s="48">
        <f>E$25</f>
        <v>2182.88</v>
      </c>
      <c r="D57" s="63">
        <v>4.5999999999999999E-3</v>
      </c>
      <c r="E57" s="84">
        <f>C57*D57</f>
        <v>10.039999999999999</v>
      </c>
    </row>
    <row r="58" spans="1:5" s="34" customFormat="1" ht="15.75" customHeight="1" x14ac:dyDescent="0.25">
      <c r="A58" s="59" t="s">
        <v>2</v>
      </c>
      <c r="B58" s="60" t="s">
        <v>36</v>
      </c>
      <c r="C58" s="48">
        <f t="shared" ref="C58:C61" si="2">E$25</f>
        <v>2182.88</v>
      </c>
      <c r="D58" s="63">
        <v>4.0000000000000002E-4</v>
      </c>
      <c r="E58" s="84">
        <f>C58*D58</f>
        <v>0.87</v>
      </c>
    </row>
    <row r="59" spans="1:5" s="34" customFormat="1" ht="15.75" customHeight="1" x14ac:dyDescent="0.25">
      <c r="A59" s="59" t="s">
        <v>3</v>
      </c>
      <c r="B59" s="60" t="s">
        <v>37</v>
      </c>
      <c r="C59" s="48">
        <f t="shared" si="2"/>
        <v>2182.88</v>
      </c>
      <c r="D59" s="63">
        <v>1.9400000000000001E-2</v>
      </c>
      <c r="E59" s="84">
        <f>C59*D59</f>
        <v>42.35</v>
      </c>
    </row>
    <row r="60" spans="1:5" s="34" customFormat="1" ht="15.75" customHeight="1" x14ac:dyDescent="0.25">
      <c r="A60" s="59" t="s">
        <v>5</v>
      </c>
      <c r="B60" s="100" t="s">
        <v>221</v>
      </c>
      <c r="C60" s="48">
        <f t="shared" si="2"/>
        <v>2182.88</v>
      </c>
      <c r="D60" s="63">
        <v>7.1000000000000004E-3</v>
      </c>
      <c r="E60" s="84">
        <f>C60*D60</f>
        <v>15.5</v>
      </c>
    </row>
    <row r="61" spans="1:5" s="34" customFormat="1" ht="32.25" customHeight="1" x14ac:dyDescent="0.25">
      <c r="A61" s="59" t="s">
        <v>22</v>
      </c>
      <c r="B61" s="60" t="s">
        <v>193</v>
      </c>
      <c r="C61" s="48">
        <f t="shared" si="2"/>
        <v>2182.88</v>
      </c>
      <c r="D61" s="63">
        <v>0.04</v>
      </c>
      <c r="E61" s="84">
        <f>C61*D61</f>
        <v>87.32</v>
      </c>
    </row>
    <row r="62" spans="1:5" s="34" customFormat="1" x14ac:dyDescent="0.25">
      <c r="A62" s="377" t="s">
        <v>160</v>
      </c>
      <c r="B62" s="378"/>
      <c r="C62" s="378"/>
      <c r="D62" s="122">
        <f>SUM(D57:D61)</f>
        <v>7.1499999999999994E-2</v>
      </c>
      <c r="E62" s="114">
        <f>SUM(E57:E61)</f>
        <v>156.08000000000001</v>
      </c>
    </row>
    <row r="63" spans="1:5" s="34" customFormat="1" ht="15.75" customHeight="1" x14ac:dyDescent="0.25">
      <c r="A63" s="374" t="s">
        <v>169</v>
      </c>
      <c r="B63" s="375"/>
      <c r="C63" s="375"/>
      <c r="D63" s="375"/>
      <c r="E63" s="376"/>
    </row>
    <row r="64" spans="1:5" s="34" customFormat="1" ht="30" customHeight="1" x14ac:dyDescent="0.25">
      <c r="A64" s="271" t="s">
        <v>28</v>
      </c>
      <c r="B64" s="69" t="s">
        <v>222</v>
      </c>
      <c r="C64" s="201" t="s">
        <v>204</v>
      </c>
      <c r="D64" s="97"/>
      <c r="E64" s="92" t="s">
        <v>10</v>
      </c>
    </row>
    <row r="65" spans="1:5" s="34" customFormat="1" x14ac:dyDescent="0.25">
      <c r="A65" s="59" t="s">
        <v>0</v>
      </c>
      <c r="B65" s="276" t="s">
        <v>194</v>
      </c>
      <c r="C65" s="50">
        <f>E$25+E$54+E$62+E84</f>
        <v>4451.8999999999996</v>
      </c>
      <c r="D65" s="63">
        <f>D29/12</f>
        <v>9.2999999999999992E-3</v>
      </c>
      <c r="E65" s="84">
        <f t="shared" ref="E65:E70" si="3">C65*D65</f>
        <v>41.4</v>
      </c>
    </row>
    <row r="66" spans="1:5" s="34" customFormat="1" x14ac:dyDescent="0.25">
      <c r="A66" s="59" t="s">
        <v>2</v>
      </c>
      <c r="B66" s="276" t="s">
        <v>195</v>
      </c>
      <c r="C66" s="50">
        <f>E$25+E$54+E$62+E84</f>
        <v>4451.8999999999996</v>
      </c>
      <c r="D66" s="63">
        <v>1.66E-2</v>
      </c>
      <c r="E66" s="84">
        <f t="shared" si="3"/>
        <v>73.900000000000006</v>
      </c>
    </row>
    <row r="67" spans="1:5" s="34" customFormat="1" x14ac:dyDescent="0.25">
      <c r="A67" s="59" t="s">
        <v>3</v>
      </c>
      <c r="B67" s="276" t="s">
        <v>196</v>
      </c>
      <c r="C67" s="50">
        <f>E$25+E$54+E$62+E84</f>
        <v>4451.8999999999996</v>
      </c>
      <c r="D67" s="63">
        <v>2.0000000000000001E-4</v>
      </c>
      <c r="E67" s="84">
        <f t="shared" si="3"/>
        <v>0.89</v>
      </c>
    </row>
    <row r="68" spans="1:5" s="34" customFormat="1" x14ac:dyDescent="0.25">
      <c r="A68" s="59" t="s">
        <v>5</v>
      </c>
      <c r="B68" s="276" t="s">
        <v>197</v>
      </c>
      <c r="C68" s="50">
        <f>E$25+E$54+E$62+E84</f>
        <v>4451.8999999999996</v>
      </c>
      <c r="D68" s="63">
        <v>2.7000000000000001E-3</v>
      </c>
      <c r="E68" s="84">
        <f t="shared" si="3"/>
        <v>12.02</v>
      </c>
    </row>
    <row r="69" spans="1:5" s="34" customFormat="1" x14ac:dyDescent="0.25">
      <c r="A69" s="59" t="s">
        <v>22</v>
      </c>
      <c r="B69" s="276" t="s">
        <v>198</v>
      </c>
      <c r="C69" s="50">
        <f>E$25+E$54+E$62+E84</f>
        <v>4451.8999999999996</v>
      </c>
      <c r="D69" s="63">
        <v>2.9999999999999997E-4</v>
      </c>
      <c r="E69" s="84">
        <f t="shared" si="3"/>
        <v>1.34</v>
      </c>
    </row>
    <row r="70" spans="1:5" s="34" customFormat="1" x14ac:dyDescent="0.25">
      <c r="A70" s="59" t="s">
        <v>24</v>
      </c>
      <c r="B70" s="276" t="s">
        <v>199</v>
      </c>
      <c r="C70" s="50">
        <f>E$25+E$54+E$62+E84</f>
        <v>4451.8999999999996</v>
      </c>
      <c r="D70" s="63">
        <v>0</v>
      </c>
      <c r="E70" s="84">
        <f t="shared" si="3"/>
        <v>0</v>
      </c>
    </row>
    <row r="71" spans="1:5" s="34" customFormat="1" ht="15.75" customHeight="1" x14ac:dyDescent="0.25">
      <c r="A71" s="383" t="s">
        <v>200</v>
      </c>
      <c r="B71" s="384"/>
      <c r="C71" s="385"/>
      <c r="D71" s="98">
        <f>SUM(D65:D70)</f>
        <v>2.9100000000000001E-2</v>
      </c>
      <c r="E71" s="85">
        <f>SUM(E65:E70)</f>
        <v>129.55000000000001</v>
      </c>
    </row>
    <row r="72" spans="1:5" s="34" customFormat="1" ht="15.75" customHeight="1" x14ac:dyDescent="0.25">
      <c r="A72" s="380" t="s">
        <v>201</v>
      </c>
      <c r="B72" s="381"/>
      <c r="C72" s="381"/>
      <c r="D72" s="381"/>
      <c r="E72" s="382"/>
    </row>
    <row r="73" spans="1:5" s="34" customFormat="1" x14ac:dyDescent="0.25">
      <c r="A73" s="271"/>
      <c r="B73" s="457" t="s">
        <v>201</v>
      </c>
      <c r="C73" s="458"/>
      <c r="D73" s="100"/>
      <c r="E73" s="92" t="s">
        <v>10</v>
      </c>
    </row>
    <row r="74" spans="1:5" s="34" customFormat="1" ht="15.75" customHeight="1" x14ac:dyDescent="0.25">
      <c r="A74" s="59" t="s">
        <v>0</v>
      </c>
      <c r="B74" s="401" t="s">
        <v>202</v>
      </c>
      <c r="C74" s="403"/>
      <c r="D74" s="63">
        <v>0</v>
      </c>
      <c r="E74" s="84">
        <f>(E$25+E$54+E$62)*D74</f>
        <v>0</v>
      </c>
    </row>
    <row r="75" spans="1:5" s="34" customFormat="1" ht="15.75" customHeight="1" x14ac:dyDescent="0.25">
      <c r="A75" s="383" t="s">
        <v>203</v>
      </c>
      <c r="B75" s="384"/>
      <c r="C75" s="385"/>
      <c r="D75" s="86">
        <f>SUM(D74:D74)</f>
        <v>0</v>
      </c>
      <c r="E75" s="85">
        <f>SUM(E74:E74)</f>
        <v>0</v>
      </c>
    </row>
    <row r="76" spans="1:5" s="34" customFormat="1" ht="15.75" customHeight="1" x14ac:dyDescent="0.25">
      <c r="A76" s="449" t="s">
        <v>223</v>
      </c>
      <c r="B76" s="450"/>
      <c r="C76" s="450"/>
      <c r="D76" s="450"/>
      <c r="E76" s="451"/>
    </row>
    <row r="77" spans="1:5" s="34" customFormat="1" ht="15.75" customHeight="1" x14ac:dyDescent="0.25">
      <c r="A77" s="271">
        <v>4</v>
      </c>
      <c r="B77" s="199" t="s">
        <v>224</v>
      </c>
      <c r="C77" s="110"/>
      <c r="D77" s="112"/>
      <c r="E77" s="92" t="s">
        <v>10</v>
      </c>
    </row>
    <row r="78" spans="1:5" s="34" customFormat="1" ht="15.75" customHeight="1" x14ac:dyDescent="0.25">
      <c r="A78" s="59" t="s">
        <v>28</v>
      </c>
      <c r="B78" s="71" t="s">
        <v>222</v>
      </c>
      <c r="C78" s="60"/>
      <c r="D78" s="63">
        <f>D71</f>
        <v>2.9100000000000001E-2</v>
      </c>
      <c r="E78" s="84">
        <f>E71</f>
        <v>129.55000000000001</v>
      </c>
    </row>
    <row r="79" spans="1:5" s="34" customFormat="1" ht="15.75" customHeight="1" x14ac:dyDescent="0.25">
      <c r="A79" s="59" t="s">
        <v>32</v>
      </c>
      <c r="B79" s="71" t="s">
        <v>201</v>
      </c>
      <c r="C79" s="60"/>
      <c r="D79" s="63">
        <v>0</v>
      </c>
      <c r="E79" s="84">
        <f>(D$25+D$53+D$61)*D79</f>
        <v>0</v>
      </c>
    </row>
    <row r="80" spans="1:5" s="34" customFormat="1" ht="15.75" customHeight="1" x14ac:dyDescent="0.25">
      <c r="A80" s="383" t="s">
        <v>31</v>
      </c>
      <c r="B80" s="384"/>
      <c r="C80" s="385"/>
      <c r="D80" s="86">
        <f>SUM(D78:D79)</f>
        <v>2.9100000000000001E-2</v>
      </c>
      <c r="E80" s="85">
        <f>SUM(E78:E79)</f>
        <v>129.55000000000001</v>
      </c>
    </row>
    <row r="81" spans="1:5" s="34" customFormat="1" ht="15.75" customHeight="1" x14ac:dyDescent="0.25">
      <c r="A81" s="371" t="s">
        <v>161</v>
      </c>
      <c r="B81" s="372"/>
      <c r="C81" s="372"/>
      <c r="D81" s="373"/>
      <c r="E81" s="99">
        <f>SUM(E71+E75)</f>
        <v>129.55000000000001</v>
      </c>
    </row>
    <row r="82" spans="1:5" s="34" customFormat="1" ht="15.75" customHeight="1" x14ac:dyDescent="0.25">
      <c r="A82" s="374" t="s">
        <v>170</v>
      </c>
      <c r="B82" s="375"/>
      <c r="C82" s="375"/>
      <c r="D82" s="375"/>
      <c r="E82" s="376"/>
    </row>
    <row r="83" spans="1:5" s="34" customFormat="1" ht="15.75" customHeight="1" x14ac:dyDescent="0.25">
      <c r="A83" s="271">
        <v>5</v>
      </c>
      <c r="B83" s="58" t="s">
        <v>27</v>
      </c>
      <c r="C83" s="287"/>
      <c r="D83" s="287"/>
      <c r="E83" s="92" t="s">
        <v>10</v>
      </c>
    </row>
    <row r="84" spans="1:5" s="34" customFormat="1" ht="15.75" customHeight="1" x14ac:dyDescent="0.25">
      <c r="A84" s="285" t="s">
        <v>0</v>
      </c>
      <c r="B84" s="288" t="s">
        <v>225</v>
      </c>
      <c r="C84" s="274"/>
      <c r="D84" s="274"/>
      <c r="E84" s="84">
        <f>'EPI''s e Uniformes'!I14+'EPI''s e Uniformes'!I20</f>
        <v>57.64</v>
      </c>
    </row>
    <row r="85" spans="1:5" s="34" customFormat="1" ht="15.75" customHeight="1" x14ac:dyDescent="0.25">
      <c r="A85" s="285" t="s">
        <v>2</v>
      </c>
      <c r="B85" s="288" t="s">
        <v>226</v>
      </c>
      <c r="C85" s="274"/>
      <c r="D85" s="274"/>
      <c r="E85" s="84">
        <f>'Material de Limpeza'!I26</f>
        <v>676.27</v>
      </c>
    </row>
    <row r="86" spans="1:5" s="34" customFormat="1" ht="15.75" customHeight="1" x14ac:dyDescent="0.25">
      <c r="A86" s="285" t="s">
        <v>3</v>
      </c>
      <c r="B86" s="288" t="s">
        <v>208</v>
      </c>
      <c r="C86" s="274"/>
      <c r="D86" s="274"/>
      <c r="E86" s="84">
        <f>Equipamentos!I34</f>
        <v>47.95</v>
      </c>
    </row>
    <row r="87" spans="1:5" s="34" customFormat="1" ht="15.75" customHeight="1" x14ac:dyDescent="0.25">
      <c r="A87" s="285" t="s">
        <v>5</v>
      </c>
      <c r="B87" s="288" t="s">
        <v>133</v>
      </c>
      <c r="C87" s="274"/>
      <c r="D87" s="274"/>
      <c r="E87" s="84">
        <v>0</v>
      </c>
    </row>
    <row r="88" spans="1:5" s="34" customFormat="1" ht="15.75" customHeight="1" x14ac:dyDescent="0.25">
      <c r="A88" s="377" t="s">
        <v>162</v>
      </c>
      <c r="B88" s="378"/>
      <c r="C88" s="378"/>
      <c r="D88" s="379"/>
      <c r="E88" s="90">
        <f>SUM(E84:E87)</f>
        <v>781.86</v>
      </c>
    </row>
    <row r="89" spans="1:5" s="34" customFormat="1" ht="23.25" customHeight="1" x14ac:dyDescent="0.25">
      <c r="A89" s="368" t="s">
        <v>227</v>
      </c>
      <c r="B89" s="369"/>
      <c r="C89" s="369"/>
      <c r="D89" s="370"/>
      <c r="E89" s="109">
        <f>E88+E81+E62+E54+E25</f>
        <v>5305.67</v>
      </c>
    </row>
    <row r="90" spans="1:5" s="34" customFormat="1" ht="19.5" customHeight="1" x14ac:dyDescent="0.25">
      <c r="A90" s="374" t="s">
        <v>171</v>
      </c>
      <c r="B90" s="375"/>
      <c r="C90" s="375"/>
      <c r="D90" s="375"/>
      <c r="E90" s="376"/>
    </row>
    <row r="91" spans="1:5" s="34" customFormat="1" x14ac:dyDescent="0.25">
      <c r="A91" s="271">
        <v>6</v>
      </c>
      <c r="B91" s="287" t="s">
        <v>38</v>
      </c>
      <c r="C91" s="47" t="s">
        <v>204</v>
      </c>
      <c r="D91" s="47"/>
      <c r="E91" s="92" t="s">
        <v>10</v>
      </c>
    </row>
    <row r="92" spans="1:5" s="34" customFormat="1" x14ac:dyDescent="0.25">
      <c r="A92" s="271" t="s">
        <v>0</v>
      </c>
      <c r="B92" s="60" t="s">
        <v>39</v>
      </c>
      <c r="C92" s="102">
        <f>E89</f>
        <v>5305.67</v>
      </c>
      <c r="D92" s="63">
        <v>0.05</v>
      </c>
      <c r="E92" s="84">
        <f>C92*D92</f>
        <v>265.27999999999997</v>
      </c>
    </row>
    <row r="93" spans="1:5" s="34" customFormat="1" x14ac:dyDescent="0.25">
      <c r="A93" s="271" t="s">
        <v>2</v>
      </c>
      <c r="B93" s="60" t="s">
        <v>40</v>
      </c>
      <c r="C93" s="102">
        <f>E89+E92</f>
        <v>5570.95</v>
      </c>
      <c r="D93" s="63">
        <v>0.1</v>
      </c>
      <c r="E93" s="84">
        <f>D93*C93</f>
        <v>557.1</v>
      </c>
    </row>
    <row r="94" spans="1:5" s="34" customFormat="1" ht="30.75" customHeight="1" x14ac:dyDescent="0.25">
      <c r="A94" s="393" t="s">
        <v>3</v>
      </c>
      <c r="B94" s="71" t="s">
        <v>228</v>
      </c>
      <c r="C94" s="60"/>
      <c r="D94" s="63">
        <f>1-D102</f>
        <v>0.85750000000000004</v>
      </c>
      <c r="E94" s="84">
        <f>+E89+E92+E93</f>
        <v>6128.05</v>
      </c>
    </row>
    <row r="95" spans="1:5" s="34" customFormat="1" x14ac:dyDescent="0.25">
      <c r="A95" s="393"/>
      <c r="B95" s="272" t="s">
        <v>41</v>
      </c>
      <c r="C95" s="62"/>
      <c r="D95" s="269"/>
      <c r="E95" s="117">
        <f>+E94/D94</f>
        <v>7146.41</v>
      </c>
    </row>
    <row r="96" spans="1:5" s="34" customFormat="1" x14ac:dyDescent="0.25">
      <c r="A96" s="393"/>
      <c r="B96" s="272" t="s">
        <v>42</v>
      </c>
      <c r="C96" s="101"/>
      <c r="D96" s="103"/>
      <c r="E96" s="84"/>
    </row>
    <row r="97" spans="1:5" s="34" customFormat="1" x14ac:dyDescent="0.25">
      <c r="A97" s="393"/>
      <c r="B97" s="71" t="s">
        <v>395</v>
      </c>
      <c r="C97" s="78">
        <f>E95</f>
        <v>7146.41</v>
      </c>
      <c r="D97" s="63">
        <v>1.6500000000000001E-2</v>
      </c>
      <c r="E97" s="84">
        <f>C97*D97</f>
        <v>117.92</v>
      </c>
    </row>
    <row r="98" spans="1:5" s="34" customFormat="1" x14ac:dyDescent="0.25">
      <c r="A98" s="393"/>
      <c r="B98" s="71" t="s">
        <v>396</v>
      </c>
      <c r="C98" s="78">
        <f>E95</f>
        <v>7146.41</v>
      </c>
      <c r="D98" s="63">
        <v>7.5999999999999998E-2</v>
      </c>
      <c r="E98" s="84">
        <f>C98*D98</f>
        <v>543.13</v>
      </c>
    </row>
    <row r="99" spans="1:5" s="34" customFormat="1" x14ac:dyDescent="0.25">
      <c r="A99" s="393"/>
      <c r="B99" s="289" t="s">
        <v>43</v>
      </c>
      <c r="C99" s="79"/>
      <c r="D99" s="269"/>
      <c r="E99" s="84"/>
    </row>
    <row r="100" spans="1:5" s="34" customFormat="1" x14ac:dyDescent="0.25">
      <c r="A100" s="393"/>
      <c r="B100" s="289" t="s">
        <v>44</v>
      </c>
      <c r="C100" s="79"/>
      <c r="D100" s="79"/>
      <c r="E100" s="84"/>
    </row>
    <row r="101" spans="1:5" s="34" customFormat="1" ht="16.5" thickBot="1" x14ac:dyDescent="0.3">
      <c r="A101" s="394"/>
      <c r="B101" s="290" t="s">
        <v>397</v>
      </c>
      <c r="C101" s="80">
        <f>E95</f>
        <v>7146.41</v>
      </c>
      <c r="D101" s="104">
        <v>0.05</v>
      </c>
      <c r="E101" s="118">
        <f>C101*D101</f>
        <v>357.32</v>
      </c>
    </row>
    <row r="102" spans="1:5" s="34" customFormat="1" ht="16.5" thickBot="1" x14ac:dyDescent="0.3">
      <c r="A102" s="72"/>
      <c r="B102" s="366" t="s">
        <v>45</v>
      </c>
      <c r="C102" s="367"/>
      <c r="D102" s="116">
        <f>SUM(D97:D101)</f>
        <v>0.14249999999999999</v>
      </c>
      <c r="E102" s="115">
        <f>SUM(E97:E101)</f>
        <v>1018.37</v>
      </c>
    </row>
    <row r="103" spans="1:5" s="34" customFormat="1" ht="15.75" customHeight="1" x14ac:dyDescent="0.25">
      <c r="A103" s="395" t="s">
        <v>46</v>
      </c>
      <c r="B103" s="396"/>
      <c r="C103" s="396"/>
      <c r="D103" s="397"/>
      <c r="E103" s="105">
        <f>+E92+E93+E102</f>
        <v>1840.75</v>
      </c>
    </row>
    <row r="104" spans="1:5" s="34" customFormat="1" ht="15.75" customHeight="1" x14ac:dyDescent="0.25">
      <c r="A104" s="398" t="s">
        <v>47</v>
      </c>
      <c r="B104" s="399"/>
      <c r="C104" s="399"/>
      <c r="D104" s="400"/>
      <c r="E104" s="106" t="s">
        <v>10</v>
      </c>
    </row>
    <row r="105" spans="1:5" s="34" customFormat="1" x14ac:dyDescent="0.25">
      <c r="A105" s="59" t="s">
        <v>0</v>
      </c>
      <c r="B105" s="401" t="s">
        <v>48</v>
      </c>
      <c r="C105" s="402"/>
      <c r="D105" s="403"/>
      <c r="E105" s="84">
        <f>+E25</f>
        <v>2182.88</v>
      </c>
    </row>
    <row r="106" spans="1:5" s="34" customFormat="1" x14ac:dyDescent="0.25">
      <c r="A106" s="59" t="s">
        <v>2</v>
      </c>
      <c r="B106" s="401" t="s">
        <v>165</v>
      </c>
      <c r="C106" s="402"/>
      <c r="D106" s="403"/>
      <c r="E106" s="84">
        <f>+E54</f>
        <v>2055.3000000000002</v>
      </c>
    </row>
    <row r="107" spans="1:5" s="34" customFormat="1" x14ac:dyDescent="0.25">
      <c r="A107" s="59" t="s">
        <v>3</v>
      </c>
      <c r="B107" s="401" t="s">
        <v>163</v>
      </c>
      <c r="C107" s="402"/>
      <c r="D107" s="403"/>
      <c r="E107" s="84">
        <f>E62</f>
        <v>156.08000000000001</v>
      </c>
    </row>
    <row r="108" spans="1:5" s="34" customFormat="1" x14ac:dyDescent="0.25">
      <c r="A108" s="59" t="s">
        <v>5</v>
      </c>
      <c r="B108" s="401" t="s">
        <v>156</v>
      </c>
      <c r="C108" s="402"/>
      <c r="D108" s="403"/>
      <c r="E108" s="84">
        <f>E81</f>
        <v>129.55000000000001</v>
      </c>
    </row>
    <row r="109" spans="1:5" s="34" customFormat="1" x14ac:dyDescent="0.25">
      <c r="A109" s="59" t="s">
        <v>22</v>
      </c>
      <c r="B109" s="401" t="s">
        <v>164</v>
      </c>
      <c r="C109" s="402"/>
      <c r="D109" s="403"/>
      <c r="E109" s="84">
        <f>E88</f>
        <v>781.86</v>
      </c>
    </row>
    <row r="110" spans="1:5" s="34" customFormat="1" ht="15.75" customHeight="1" x14ac:dyDescent="0.25">
      <c r="A110" s="404" t="s">
        <v>166</v>
      </c>
      <c r="B110" s="405"/>
      <c r="C110" s="405"/>
      <c r="D110" s="406"/>
      <c r="E110" s="107">
        <f>SUM(E105:E109)</f>
        <v>5305.67</v>
      </c>
    </row>
    <row r="111" spans="1:5" s="34" customFormat="1" x14ac:dyDescent="0.25">
      <c r="A111" s="271" t="s">
        <v>24</v>
      </c>
      <c r="B111" s="401" t="s">
        <v>167</v>
      </c>
      <c r="C111" s="402"/>
      <c r="D111" s="403"/>
      <c r="E111" s="84">
        <f>+E103</f>
        <v>1840.75</v>
      </c>
    </row>
    <row r="112" spans="1:5" s="34" customFormat="1" ht="16.5" customHeight="1" thickBot="1" x14ac:dyDescent="0.3">
      <c r="A112" s="407" t="s">
        <v>49</v>
      </c>
      <c r="B112" s="408"/>
      <c r="C112" s="408"/>
      <c r="D112" s="409"/>
      <c r="E112" s="108">
        <f>+E110+E111</f>
        <v>7146.42</v>
      </c>
    </row>
    <row r="113" spans="2:5" x14ac:dyDescent="0.25">
      <c r="D113" s="35"/>
      <c r="E113" s="37"/>
    </row>
    <row r="114" spans="2:5" x14ac:dyDescent="0.25">
      <c r="B114" s="32"/>
      <c r="C114" s="32"/>
      <c r="D114" s="35"/>
      <c r="E114" s="38"/>
    </row>
    <row r="115" spans="2:5" x14ac:dyDescent="0.25">
      <c r="B115" s="32"/>
      <c r="C115" s="32"/>
      <c r="D115" s="35"/>
      <c r="E115" s="38" t="s">
        <v>128</v>
      </c>
    </row>
    <row r="116" spans="2:5" x14ac:dyDescent="0.25">
      <c r="B116" s="32"/>
      <c r="C116" s="392"/>
      <c r="D116" s="392"/>
      <c r="E116" s="392"/>
    </row>
    <row r="117" spans="2:5" x14ac:dyDescent="0.25">
      <c r="B117" s="32"/>
      <c r="C117" s="32"/>
      <c r="D117" s="35"/>
      <c r="E117" s="39"/>
    </row>
    <row r="119" spans="2:5" x14ac:dyDescent="0.25">
      <c r="B119" s="40"/>
    </row>
    <row r="124" spans="2:5" x14ac:dyDescent="0.25">
      <c r="B124" s="32"/>
      <c r="C124" s="32"/>
    </row>
  </sheetData>
  <mergeCells count="61">
    <mergeCell ref="A41:C41"/>
    <mergeCell ref="A63:E63"/>
    <mergeCell ref="A76:E76"/>
    <mergeCell ref="A80:C80"/>
    <mergeCell ref="C20:D20"/>
    <mergeCell ref="A26:E26"/>
    <mergeCell ref="A42:E42"/>
    <mergeCell ref="C24:D24"/>
    <mergeCell ref="A31:E31"/>
    <mergeCell ref="A49:D49"/>
    <mergeCell ref="A71:C71"/>
    <mergeCell ref="A50:E50"/>
    <mergeCell ref="B73:C73"/>
    <mergeCell ref="B74:C74"/>
    <mergeCell ref="A30:C30"/>
    <mergeCell ref="C21:D21"/>
    <mergeCell ref="A8:E8"/>
    <mergeCell ref="A9:E9"/>
    <mergeCell ref="C14:E14"/>
    <mergeCell ref="C18:D18"/>
    <mergeCell ref="C19:D19"/>
    <mergeCell ref="A11:D11"/>
    <mergeCell ref="C12:E12"/>
    <mergeCell ref="C15:E15"/>
    <mergeCell ref="C13:E13"/>
    <mergeCell ref="A2:E2"/>
    <mergeCell ref="C4:E4"/>
    <mergeCell ref="C5:E5"/>
    <mergeCell ref="C6:E6"/>
    <mergeCell ref="A3:E3"/>
    <mergeCell ref="C22:D22"/>
    <mergeCell ref="C23:D23"/>
    <mergeCell ref="A25:D25"/>
    <mergeCell ref="B17:D17"/>
    <mergeCell ref="A10:E10"/>
    <mergeCell ref="A1:E1"/>
    <mergeCell ref="A16:E16"/>
    <mergeCell ref="C7:E7"/>
    <mergeCell ref="C116:E116"/>
    <mergeCell ref="A94:A101"/>
    <mergeCell ref="A103:D103"/>
    <mergeCell ref="A104:D104"/>
    <mergeCell ref="B107:D107"/>
    <mergeCell ref="B111:D111"/>
    <mergeCell ref="B105:D105"/>
    <mergeCell ref="B106:D106"/>
    <mergeCell ref="A110:D110"/>
    <mergeCell ref="B108:D108"/>
    <mergeCell ref="B109:D109"/>
    <mergeCell ref="A112:D112"/>
    <mergeCell ref="A90:E90"/>
    <mergeCell ref="B102:C102"/>
    <mergeCell ref="A89:D89"/>
    <mergeCell ref="A54:D54"/>
    <mergeCell ref="A55:E55"/>
    <mergeCell ref="A62:C62"/>
    <mergeCell ref="A81:D81"/>
    <mergeCell ref="A88:D88"/>
    <mergeCell ref="A72:E72"/>
    <mergeCell ref="A75:C75"/>
    <mergeCell ref="A82:E82"/>
  </mergeCells>
  <hyperlinks>
    <hyperlink ref="B40" r:id="rId1" display="08 - Sebrae 0,3% ou 0,6% - IN nº 03, MPS/SRP/2005, Anexo II e III ver código da Tabela"/>
  </hyperlinks>
  <pageMargins left="0.7" right="0.7" top="0.75" bottom="0.75" header="0.3" footer="0.3"/>
  <pageSetup paperSize="9" scale="38" orientation="portrait"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4"/>
  <sheetViews>
    <sheetView view="pageBreakPreview" topLeftCell="A28" zoomScaleNormal="115" zoomScaleSheetLayoutView="100" workbookViewId="0">
      <selection activeCell="F44" sqref="F44"/>
    </sheetView>
  </sheetViews>
  <sheetFormatPr defaultColWidth="9.140625" defaultRowHeight="15.75" x14ac:dyDescent="0.25"/>
  <cols>
    <col min="1" max="1" width="4.42578125" style="33" bestFit="1" customWidth="1"/>
    <col min="2" max="2" width="72.7109375" style="35" customWidth="1"/>
    <col min="3" max="3" width="20.7109375" style="35" customWidth="1"/>
    <col min="4" max="4" width="8.7109375" style="36" customWidth="1"/>
    <col min="5" max="5" width="15.7109375" style="41" customWidth="1"/>
    <col min="6" max="16384" width="9.140625" style="32"/>
  </cols>
  <sheetData>
    <row r="1" spans="1:5" x14ac:dyDescent="0.25">
      <c r="A1" s="386"/>
      <c r="B1" s="387"/>
      <c r="C1" s="387"/>
      <c r="D1" s="387"/>
      <c r="E1" s="388"/>
    </row>
    <row r="2" spans="1:5" s="45" customFormat="1" ht="16.5" customHeight="1" thickBot="1" x14ac:dyDescent="0.3">
      <c r="A2" s="420"/>
      <c r="B2" s="421"/>
      <c r="C2" s="421"/>
      <c r="D2" s="421"/>
      <c r="E2" s="422"/>
    </row>
    <row r="3" spans="1:5" s="45" customFormat="1" x14ac:dyDescent="0.25">
      <c r="A3" s="426" t="s">
        <v>128</v>
      </c>
      <c r="B3" s="427"/>
      <c r="C3" s="427"/>
      <c r="D3" s="427"/>
      <c r="E3" s="428"/>
    </row>
    <row r="4" spans="1:5" s="45" customFormat="1" ht="15" customHeight="1" x14ac:dyDescent="0.25">
      <c r="A4" s="52" t="s">
        <v>0</v>
      </c>
      <c r="B4" s="53" t="s">
        <v>1</v>
      </c>
      <c r="C4" s="423">
        <v>2024</v>
      </c>
      <c r="D4" s="424"/>
      <c r="E4" s="425"/>
    </row>
    <row r="5" spans="1:5" s="45" customFormat="1" ht="60" customHeight="1" x14ac:dyDescent="0.25">
      <c r="A5" s="52" t="s">
        <v>2</v>
      </c>
      <c r="B5" s="53" t="s">
        <v>137</v>
      </c>
      <c r="C5" s="389" t="s">
        <v>240</v>
      </c>
      <c r="D5" s="390"/>
      <c r="E5" s="391"/>
    </row>
    <row r="6" spans="1:5" s="45" customFormat="1" ht="15.75" customHeight="1" x14ac:dyDescent="0.25">
      <c r="A6" s="52" t="s">
        <v>3</v>
      </c>
      <c r="B6" s="53" t="s">
        <v>4</v>
      </c>
      <c r="C6" s="389" t="s">
        <v>391</v>
      </c>
      <c r="D6" s="390"/>
      <c r="E6" s="391"/>
    </row>
    <row r="7" spans="1:5" s="45" customFormat="1" x14ac:dyDescent="0.25">
      <c r="A7" s="52"/>
      <c r="B7" s="53" t="s">
        <v>209</v>
      </c>
      <c r="C7" s="389">
        <v>12</v>
      </c>
      <c r="D7" s="390"/>
      <c r="E7" s="391"/>
    </row>
    <row r="8" spans="1:5" s="45" customFormat="1" x14ac:dyDescent="0.25">
      <c r="A8" s="429" t="s">
        <v>6</v>
      </c>
      <c r="B8" s="430"/>
      <c r="C8" s="430"/>
      <c r="D8" s="430"/>
      <c r="E8" s="431"/>
    </row>
    <row r="9" spans="1:5" s="45" customFormat="1" x14ac:dyDescent="0.25">
      <c r="A9" s="432" t="s">
        <v>7</v>
      </c>
      <c r="B9" s="433"/>
      <c r="C9" s="433"/>
      <c r="D9" s="433"/>
      <c r="E9" s="434"/>
    </row>
    <row r="10" spans="1:5" s="45" customFormat="1" ht="15.75" customHeight="1" x14ac:dyDescent="0.25">
      <c r="A10" s="417" t="s">
        <v>8</v>
      </c>
      <c r="B10" s="418"/>
      <c r="C10" s="418"/>
      <c r="D10" s="418"/>
      <c r="E10" s="419"/>
    </row>
    <row r="11" spans="1:5" s="45" customFormat="1" ht="30" customHeight="1" x14ac:dyDescent="0.25">
      <c r="A11" s="440" t="s">
        <v>9</v>
      </c>
      <c r="B11" s="441"/>
      <c r="C11" s="441"/>
      <c r="D11" s="442"/>
      <c r="E11" s="200" t="s">
        <v>10</v>
      </c>
    </row>
    <row r="12" spans="1:5" s="45" customFormat="1" ht="15.75" customHeight="1" x14ac:dyDescent="0.25">
      <c r="A12" s="52">
        <v>1</v>
      </c>
      <c r="B12" s="54" t="s">
        <v>129</v>
      </c>
      <c r="C12" s="435" t="s">
        <v>244</v>
      </c>
      <c r="D12" s="436"/>
      <c r="E12" s="437"/>
    </row>
    <row r="13" spans="1:5" s="45" customFormat="1" ht="30" customHeight="1" x14ac:dyDescent="0.25">
      <c r="A13" s="52">
        <v>2</v>
      </c>
      <c r="B13" s="54" t="s">
        <v>11</v>
      </c>
      <c r="C13" s="446">
        <v>1618.08</v>
      </c>
      <c r="D13" s="447"/>
      <c r="E13" s="448"/>
    </row>
    <row r="14" spans="1:5" s="45" customFormat="1" ht="15.75" customHeight="1" x14ac:dyDescent="0.25">
      <c r="A14" s="52">
        <v>3</v>
      </c>
      <c r="B14" s="54" t="s">
        <v>12</v>
      </c>
      <c r="C14" s="435" t="s">
        <v>243</v>
      </c>
      <c r="D14" s="436"/>
      <c r="E14" s="437"/>
    </row>
    <row r="15" spans="1:5" s="45" customFormat="1" x14ac:dyDescent="0.25">
      <c r="A15" s="52">
        <v>4</v>
      </c>
      <c r="B15" s="55" t="s">
        <v>13</v>
      </c>
      <c r="C15" s="443">
        <v>2024</v>
      </c>
      <c r="D15" s="444"/>
      <c r="E15" s="445"/>
    </row>
    <row r="16" spans="1:5" s="46" customFormat="1" x14ac:dyDescent="0.25">
      <c r="A16" s="374" t="s">
        <v>14</v>
      </c>
      <c r="B16" s="375"/>
      <c r="C16" s="375"/>
      <c r="D16" s="375"/>
      <c r="E16" s="376"/>
    </row>
    <row r="17" spans="1:5" s="46" customFormat="1" x14ac:dyDescent="0.25">
      <c r="A17" s="56">
        <v>1</v>
      </c>
      <c r="B17" s="414" t="s">
        <v>15</v>
      </c>
      <c r="C17" s="415"/>
      <c r="D17" s="416"/>
      <c r="E17" s="87" t="s">
        <v>10</v>
      </c>
    </row>
    <row r="18" spans="1:5" s="45" customFormat="1" ht="15.75" customHeight="1" x14ac:dyDescent="0.25">
      <c r="A18" s="57" t="s">
        <v>0</v>
      </c>
      <c r="B18" s="273" t="s">
        <v>16</v>
      </c>
      <c r="C18" s="438"/>
      <c r="D18" s="439"/>
      <c r="E18" s="88">
        <f>C13</f>
        <v>1618.08</v>
      </c>
    </row>
    <row r="19" spans="1:5" s="45" customFormat="1" ht="15.75" customHeight="1" x14ac:dyDescent="0.25">
      <c r="A19" s="57" t="s">
        <v>2</v>
      </c>
      <c r="B19" s="273" t="s">
        <v>17</v>
      </c>
      <c r="C19" s="410" t="s">
        <v>18</v>
      </c>
      <c r="D19" s="411"/>
      <c r="E19" s="89"/>
    </row>
    <row r="20" spans="1:5" s="45" customFormat="1" ht="15.75" customHeight="1" x14ac:dyDescent="0.25">
      <c r="A20" s="57" t="s">
        <v>3</v>
      </c>
      <c r="B20" s="273" t="s">
        <v>19</v>
      </c>
      <c r="C20" s="452" t="s">
        <v>358</v>
      </c>
      <c r="D20" s="453"/>
      <c r="E20" s="89">
        <f>40%*1412</f>
        <v>564.79999999999995</v>
      </c>
    </row>
    <row r="21" spans="1:5" s="45" customFormat="1" ht="15.75" customHeight="1" x14ac:dyDescent="0.25">
      <c r="A21" s="57" t="s">
        <v>5</v>
      </c>
      <c r="B21" s="273" t="s">
        <v>20</v>
      </c>
      <c r="C21" s="410" t="s">
        <v>21</v>
      </c>
      <c r="D21" s="411"/>
      <c r="E21" s="89">
        <f>((((E18+E20)/182.52)*20%)*8)*15.21</f>
        <v>291.05</v>
      </c>
    </row>
    <row r="22" spans="1:5" s="45" customFormat="1" ht="15.75" customHeight="1" x14ac:dyDescent="0.25">
      <c r="A22" s="57" t="s">
        <v>22</v>
      </c>
      <c r="B22" s="273" t="s">
        <v>213</v>
      </c>
      <c r="C22" s="410" t="s">
        <v>23</v>
      </c>
      <c r="D22" s="411"/>
      <c r="E22" s="89"/>
    </row>
    <row r="23" spans="1:5" s="45" customFormat="1" x14ac:dyDescent="0.25">
      <c r="A23" s="57" t="s">
        <v>24</v>
      </c>
      <c r="B23" s="273" t="s">
        <v>134</v>
      </c>
      <c r="C23" s="412"/>
      <c r="D23" s="413"/>
      <c r="E23" s="89"/>
    </row>
    <row r="24" spans="1:5" s="45" customFormat="1" ht="15.75" customHeight="1" x14ac:dyDescent="0.25">
      <c r="A24" s="57" t="s">
        <v>25</v>
      </c>
      <c r="B24" s="274" t="s">
        <v>135</v>
      </c>
      <c r="C24" s="412"/>
      <c r="D24" s="413"/>
      <c r="E24" s="89"/>
    </row>
    <row r="25" spans="1:5" s="46" customFormat="1" ht="15.75" customHeight="1" x14ac:dyDescent="0.25">
      <c r="A25" s="377" t="s">
        <v>158</v>
      </c>
      <c r="B25" s="378"/>
      <c r="C25" s="378"/>
      <c r="D25" s="379"/>
      <c r="E25" s="90">
        <f>SUM(E18:E24)</f>
        <v>2473.9299999999998</v>
      </c>
    </row>
    <row r="26" spans="1:5" s="46" customFormat="1" x14ac:dyDescent="0.25">
      <c r="A26" s="374" t="s">
        <v>50</v>
      </c>
      <c r="B26" s="375"/>
      <c r="C26" s="375"/>
      <c r="D26" s="375"/>
      <c r="E26" s="376"/>
    </row>
    <row r="27" spans="1:5" s="45" customFormat="1" x14ac:dyDescent="0.25">
      <c r="A27" s="81">
        <v>2</v>
      </c>
      <c r="B27" s="275" t="s">
        <v>214</v>
      </c>
      <c r="C27" s="82" t="s">
        <v>204</v>
      </c>
      <c r="D27" s="83"/>
      <c r="E27" s="91" t="s">
        <v>10</v>
      </c>
    </row>
    <row r="28" spans="1:5" s="45" customFormat="1" x14ac:dyDescent="0.25">
      <c r="A28" s="59" t="s">
        <v>0</v>
      </c>
      <c r="B28" s="60" t="s">
        <v>33</v>
      </c>
      <c r="C28" s="48">
        <f>E25</f>
        <v>2473.9299999999998</v>
      </c>
      <c r="D28" s="63">
        <f>1/12</f>
        <v>8.3299999999999999E-2</v>
      </c>
      <c r="E28" s="84">
        <f>(C28)*D28</f>
        <v>206.08</v>
      </c>
    </row>
    <row r="29" spans="1:5" s="45" customFormat="1" x14ac:dyDescent="0.25">
      <c r="A29" s="59" t="s">
        <v>2</v>
      </c>
      <c r="B29" s="276" t="s">
        <v>394</v>
      </c>
      <c r="C29" s="48">
        <f>E25</f>
        <v>2473.9299999999998</v>
      </c>
      <c r="D29" s="63">
        <v>0.1111</v>
      </c>
      <c r="E29" s="84">
        <f>(C29)*D29</f>
        <v>274.85000000000002</v>
      </c>
    </row>
    <row r="30" spans="1:5" x14ac:dyDescent="0.25">
      <c r="A30" s="383" t="s">
        <v>31</v>
      </c>
      <c r="B30" s="384"/>
      <c r="C30" s="385"/>
      <c r="D30" s="86">
        <f>SUM(D28:D29)</f>
        <v>0.19439999999999999</v>
      </c>
      <c r="E30" s="85">
        <f>SUM(E28:E29)</f>
        <v>480.93</v>
      </c>
    </row>
    <row r="31" spans="1:5" ht="30" customHeight="1" x14ac:dyDescent="0.25">
      <c r="A31" s="454" t="s">
        <v>217</v>
      </c>
      <c r="B31" s="455"/>
      <c r="C31" s="455"/>
      <c r="D31" s="455"/>
      <c r="E31" s="456"/>
    </row>
    <row r="32" spans="1:5" x14ac:dyDescent="0.25">
      <c r="A32" s="271" t="s">
        <v>142</v>
      </c>
      <c r="B32" s="58" t="s">
        <v>29</v>
      </c>
      <c r="C32" s="47" t="s">
        <v>204</v>
      </c>
      <c r="D32" s="61"/>
      <c r="E32" s="92" t="s">
        <v>10</v>
      </c>
    </row>
    <row r="33" spans="1:5" x14ac:dyDescent="0.25">
      <c r="A33" s="59" t="s">
        <v>0</v>
      </c>
      <c r="B33" s="277" t="s">
        <v>398</v>
      </c>
      <c r="C33" s="48">
        <f>E$25+E$30</f>
        <v>2954.86</v>
      </c>
      <c r="D33" s="63">
        <v>0.2</v>
      </c>
      <c r="E33" s="84">
        <f t="shared" ref="E33:E40" si="0">C33*D33</f>
        <v>590.97</v>
      </c>
    </row>
    <row r="34" spans="1:5" x14ac:dyDescent="0.25">
      <c r="A34" s="59" t="s">
        <v>2</v>
      </c>
      <c r="B34" s="277" t="s">
        <v>399</v>
      </c>
      <c r="C34" s="48">
        <f>E$25+E$30</f>
        <v>2954.86</v>
      </c>
      <c r="D34" s="278">
        <v>1.4999999999999999E-2</v>
      </c>
      <c r="E34" s="84">
        <f t="shared" si="0"/>
        <v>44.32</v>
      </c>
    </row>
    <row r="35" spans="1:5" x14ac:dyDescent="0.25">
      <c r="A35" s="59" t="s">
        <v>3</v>
      </c>
      <c r="B35" s="277" t="s">
        <v>400</v>
      </c>
      <c r="C35" s="48">
        <f>E$25+E$30</f>
        <v>2954.86</v>
      </c>
      <c r="D35" s="278">
        <v>0.01</v>
      </c>
      <c r="E35" s="84">
        <f t="shared" si="0"/>
        <v>29.55</v>
      </c>
    </row>
    <row r="36" spans="1:5" ht="30" x14ac:dyDescent="0.25">
      <c r="A36" s="59" t="s">
        <v>5</v>
      </c>
      <c r="B36" s="279" t="s">
        <v>401</v>
      </c>
      <c r="C36" s="48">
        <f t="shared" ref="C36:C40" si="1">E$25+E$30</f>
        <v>2954.86</v>
      </c>
      <c r="D36" s="278">
        <v>2E-3</v>
      </c>
      <c r="E36" s="84">
        <f t="shared" si="0"/>
        <v>5.91</v>
      </c>
    </row>
    <row r="37" spans="1:5" x14ac:dyDescent="0.25">
      <c r="A37" s="59" t="s">
        <v>22</v>
      </c>
      <c r="B37" s="277" t="s">
        <v>402</v>
      </c>
      <c r="C37" s="48">
        <f t="shared" si="1"/>
        <v>2954.86</v>
      </c>
      <c r="D37" s="278">
        <v>2.5000000000000001E-2</v>
      </c>
      <c r="E37" s="84">
        <f t="shared" si="0"/>
        <v>73.87</v>
      </c>
    </row>
    <row r="38" spans="1:5" x14ac:dyDescent="0.25">
      <c r="A38" s="59" t="s">
        <v>24</v>
      </c>
      <c r="B38" s="280" t="s">
        <v>215</v>
      </c>
      <c r="C38" s="48">
        <f t="shared" si="1"/>
        <v>2954.86</v>
      </c>
      <c r="D38" s="278">
        <v>0.08</v>
      </c>
      <c r="E38" s="84">
        <f t="shared" si="0"/>
        <v>236.39</v>
      </c>
    </row>
    <row r="39" spans="1:5" ht="45" x14ac:dyDescent="0.25">
      <c r="A39" s="59" t="s">
        <v>25</v>
      </c>
      <c r="B39" s="279" t="s">
        <v>403</v>
      </c>
      <c r="C39" s="48">
        <f t="shared" si="1"/>
        <v>2954.86</v>
      </c>
      <c r="D39" s="278">
        <v>0.03</v>
      </c>
      <c r="E39" s="84">
        <f t="shared" si="0"/>
        <v>88.65</v>
      </c>
    </row>
    <row r="40" spans="1:5" x14ac:dyDescent="0.25">
      <c r="A40" s="59" t="s">
        <v>30</v>
      </c>
      <c r="B40" s="281" t="s">
        <v>216</v>
      </c>
      <c r="C40" s="48">
        <f t="shared" si="1"/>
        <v>2954.86</v>
      </c>
      <c r="D40" s="278">
        <v>6.0000000000000001E-3</v>
      </c>
      <c r="E40" s="84">
        <f t="shared" si="0"/>
        <v>17.73</v>
      </c>
    </row>
    <row r="41" spans="1:5" s="34" customFormat="1" x14ac:dyDescent="0.25">
      <c r="A41" s="383" t="s">
        <v>31</v>
      </c>
      <c r="B41" s="384"/>
      <c r="C41" s="385"/>
      <c r="D41" s="77">
        <f>SUM(D33:D40)</f>
        <v>0.36799999999999999</v>
      </c>
      <c r="E41" s="85">
        <f>SUM(E33:E40)</f>
        <v>1087.3900000000001</v>
      </c>
    </row>
    <row r="42" spans="1:5" s="34" customFormat="1" x14ac:dyDescent="0.25">
      <c r="A42" s="380" t="s">
        <v>189</v>
      </c>
      <c r="B42" s="381"/>
      <c r="C42" s="381"/>
      <c r="D42" s="381"/>
      <c r="E42" s="382"/>
    </row>
    <row r="43" spans="1:5" s="34" customFormat="1" x14ac:dyDescent="0.25">
      <c r="A43" s="282" t="s">
        <v>207</v>
      </c>
      <c r="B43" s="283" t="s">
        <v>218</v>
      </c>
      <c r="C43" s="82" t="s">
        <v>204</v>
      </c>
      <c r="D43" s="83"/>
      <c r="E43" s="91" t="s">
        <v>10</v>
      </c>
    </row>
    <row r="44" spans="1:5" s="34" customFormat="1" x14ac:dyDescent="0.25">
      <c r="A44" s="284" t="s">
        <v>0</v>
      </c>
      <c r="B44" s="64" t="s">
        <v>152</v>
      </c>
      <c r="C44" s="93">
        <v>4.5</v>
      </c>
      <c r="D44" s="64"/>
      <c r="E44" s="94">
        <f>(32*C44)-(C13*6%)</f>
        <v>46.92</v>
      </c>
    </row>
    <row r="45" spans="1:5" s="34" customFormat="1" x14ac:dyDescent="0.25">
      <c r="A45" s="285" t="s">
        <v>2</v>
      </c>
      <c r="B45" s="274" t="s">
        <v>219</v>
      </c>
      <c r="C45" s="270" t="s">
        <v>392</v>
      </c>
      <c r="D45" s="65"/>
      <c r="E45" s="88">
        <f>581.85-(581.85*0.99%)</f>
        <v>576.09</v>
      </c>
    </row>
    <row r="46" spans="1:5" s="34" customFormat="1" x14ac:dyDescent="0.25">
      <c r="A46" s="59" t="s">
        <v>3</v>
      </c>
      <c r="B46" s="60" t="s">
        <v>130</v>
      </c>
      <c r="C46" s="49"/>
      <c r="D46" s="66"/>
      <c r="E46" s="95">
        <v>0</v>
      </c>
    </row>
    <row r="47" spans="1:5" s="34" customFormat="1" ht="30" x14ac:dyDescent="0.25">
      <c r="A47" s="59" t="s">
        <v>5</v>
      </c>
      <c r="B47" s="60" t="s">
        <v>131</v>
      </c>
      <c r="C47" s="49" t="s">
        <v>393</v>
      </c>
      <c r="D47" s="66"/>
      <c r="E47" s="95">
        <f>1618.08*50%*0.0199*2/12</f>
        <v>2.68</v>
      </c>
    </row>
    <row r="48" spans="1:5" s="34" customFormat="1" x14ac:dyDescent="0.25">
      <c r="A48" s="59" t="s">
        <v>22</v>
      </c>
      <c r="B48" s="60" t="s">
        <v>132</v>
      </c>
      <c r="C48" s="269"/>
      <c r="D48" s="66"/>
      <c r="E48" s="84">
        <v>45.8</v>
      </c>
    </row>
    <row r="49" spans="1:5" s="34" customFormat="1" ht="15.75" customHeight="1" x14ac:dyDescent="0.25">
      <c r="A49" s="383" t="s">
        <v>26</v>
      </c>
      <c r="B49" s="384"/>
      <c r="C49" s="384"/>
      <c r="D49" s="385"/>
      <c r="E49" s="85">
        <f>SUM(E44:E48)</f>
        <v>671.49</v>
      </c>
    </row>
    <row r="50" spans="1:5" s="34" customFormat="1" ht="15.75" customHeight="1" x14ac:dyDescent="0.25">
      <c r="A50" s="380" t="s">
        <v>157</v>
      </c>
      <c r="B50" s="381"/>
      <c r="C50" s="381"/>
      <c r="D50" s="381"/>
      <c r="E50" s="382"/>
    </row>
    <row r="51" spans="1:5" s="34" customFormat="1" ht="15.75" customHeight="1" x14ac:dyDescent="0.25">
      <c r="A51" s="56" t="s">
        <v>142</v>
      </c>
      <c r="B51" s="286" t="s">
        <v>153</v>
      </c>
      <c r="C51" s="68"/>
      <c r="D51" s="68"/>
      <c r="E51" s="96">
        <f>E30</f>
        <v>480.93</v>
      </c>
    </row>
    <row r="52" spans="1:5" s="34" customFormat="1" ht="15.75" customHeight="1" x14ac:dyDescent="0.25">
      <c r="A52" s="56" t="s">
        <v>143</v>
      </c>
      <c r="B52" s="286" t="s">
        <v>154</v>
      </c>
      <c r="C52" s="68"/>
      <c r="D52" s="68"/>
      <c r="E52" s="96">
        <f>E41</f>
        <v>1087.3900000000001</v>
      </c>
    </row>
    <row r="53" spans="1:5" s="34" customFormat="1" ht="15.75" customHeight="1" x14ac:dyDescent="0.25">
      <c r="A53" s="56" t="s">
        <v>207</v>
      </c>
      <c r="B53" s="286" t="s">
        <v>155</v>
      </c>
      <c r="C53" s="68"/>
      <c r="D53" s="68"/>
      <c r="E53" s="96">
        <f>E49</f>
        <v>671.49</v>
      </c>
    </row>
    <row r="54" spans="1:5" s="34" customFormat="1" ht="15.75" customHeight="1" x14ac:dyDescent="0.25">
      <c r="A54" s="371" t="s">
        <v>159</v>
      </c>
      <c r="B54" s="372"/>
      <c r="C54" s="372"/>
      <c r="D54" s="373"/>
      <c r="E54" s="90">
        <f>SUM(E51:E53)</f>
        <v>2239.81</v>
      </c>
    </row>
    <row r="55" spans="1:5" s="34" customFormat="1" ht="15.75" customHeight="1" x14ac:dyDescent="0.25">
      <c r="A55" s="374" t="s">
        <v>168</v>
      </c>
      <c r="B55" s="375"/>
      <c r="C55" s="375"/>
      <c r="D55" s="375"/>
      <c r="E55" s="376"/>
    </row>
    <row r="56" spans="1:5" s="34" customFormat="1" ht="30" customHeight="1" x14ac:dyDescent="0.25">
      <c r="A56" s="271" t="s">
        <v>220</v>
      </c>
      <c r="B56" s="287" t="s">
        <v>34</v>
      </c>
      <c r="C56" s="201" t="s">
        <v>204</v>
      </c>
      <c r="D56" s="76"/>
      <c r="E56" s="92" t="s">
        <v>10</v>
      </c>
    </row>
    <row r="57" spans="1:5" s="34" customFormat="1" ht="15.75" customHeight="1" x14ac:dyDescent="0.25">
      <c r="A57" s="59" t="s">
        <v>0</v>
      </c>
      <c r="B57" s="60" t="s">
        <v>35</v>
      </c>
      <c r="C57" s="48">
        <f>E$25</f>
        <v>2473.9299999999998</v>
      </c>
      <c r="D57" s="63">
        <v>4.5999999999999999E-3</v>
      </c>
      <c r="E57" s="84">
        <f>C57*D57</f>
        <v>11.38</v>
      </c>
    </row>
    <row r="58" spans="1:5" s="34" customFormat="1" ht="15.75" customHeight="1" x14ac:dyDescent="0.25">
      <c r="A58" s="59" t="s">
        <v>2</v>
      </c>
      <c r="B58" s="60" t="s">
        <v>36</v>
      </c>
      <c r="C58" s="48">
        <f t="shared" ref="C58:C61" si="2">E$25</f>
        <v>2473.9299999999998</v>
      </c>
      <c r="D58" s="63">
        <v>4.0000000000000002E-4</v>
      </c>
      <c r="E58" s="84">
        <f>C58*D58</f>
        <v>0.99</v>
      </c>
    </row>
    <row r="59" spans="1:5" s="34" customFormat="1" ht="15.75" customHeight="1" x14ac:dyDescent="0.25">
      <c r="A59" s="59" t="s">
        <v>3</v>
      </c>
      <c r="B59" s="60" t="s">
        <v>37</v>
      </c>
      <c r="C59" s="48">
        <f t="shared" si="2"/>
        <v>2473.9299999999998</v>
      </c>
      <c r="D59" s="63">
        <v>1.9400000000000001E-2</v>
      </c>
      <c r="E59" s="84">
        <f>C59*D59</f>
        <v>47.99</v>
      </c>
    </row>
    <row r="60" spans="1:5" s="34" customFormat="1" ht="15.75" customHeight="1" x14ac:dyDescent="0.25">
      <c r="A60" s="59" t="s">
        <v>5</v>
      </c>
      <c r="B60" s="100" t="s">
        <v>221</v>
      </c>
      <c r="C60" s="48">
        <f t="shared" si="2"/>
        <v>2473.9299999999998</v>
      </c>
      <c r="D60" s="63">
        <v>7.1000000000000004E-3</v>
      </c>
      <c r="E60" s="84">
        <f>C60*D60</f>
        <v>17.559999999999999</v>
      </c>
    </row>
    <row r="61" spans="1:5" s="34" customFormat="1" ht="32.25" customHeight="1" x14ac:dyDescent="0.25">
      <c r="A61" s="59" t="s">
        <v>22</v>
      </c>
      <c r="B61" s="60" t="s">
        <v>193</v>
      </c>
      <c r="C61" s="48">
        <f t="shared" si="2"/>
        <v>2473.9299999999998</v>
      </c>
      <c r="D61" s="63">
        <v>0.04</v>
      </c>
      <c r="E61" s="84">
        <f>C61*D61</f>
        <v>98.96</v>
      </c>
    </row>
    <row r="62" spans="1:5" s="34" customFormat="1" x14ac:dyDescent="0.25">
      <c r="A62" s="377" t="s">
        <v>160</v>
      </c>
      <c r="B62" s="378"/>
      <c r="C62" s="378"/>
      <c r="D62" s="122">
        <f>SUM(D57:D61)</f>
        <v>7.1499999999999994E-2</v>
      </c>
      <c r="E62" s="114">
        <f>SUM(E57:E61)</f>
        <v>176.88</v>
      </c>
    </row>
    <row r="63" spans="1:5" s="34" customFormat="1" ht="15.75" customHeight="1" x14ac:dyDescent="0.25">
      <c r="A63" s="374" t="s">
        <v>169</v>
      </c>
      <c r="B63" s="375"/>
      <c r="C63" s="375"/>
      <c r="D63" s="375"/>
      <c r="E63" s="376"/>
    </row>
    <row r="64" spans="1:5" s="34" customFormat="1" ht="30" customHeight="1" x14ac:dyDescent="0.25">
      <c r="A64" s="271" t="s">
        <v>28</v>
      </c>
      <c r="B64" s="69" t="s">
        <v>222</v>
      </c>
      <c r="C64" s="201" t="s">
        <v>204</v>
      </c>
      <c r="D64" s="97"/>
      <c r="E64" s="92" t="s">
        <v>10</v>
      </c>
    </row>
    <row r="65" spans="1:5" s="34" customFormat="1" x14ac:dyDescent="0.25">
      <c r="A65" s="59" t="s">
        <v>0</v>
      </c>
      <c r="B65" s="276" t="s">
        <v>194</v>
      </c>
      <c r="C65" s="50">
        <f>E$25+E$54+E$62+E84</f>
        <v>4948.26</v>
      </c>
      <c r="D65" s="63">
        <f>D29/12</f>
        <v>9.2999999999999992E-3</v>
      </c>
      <c r="E65" s="84">
        <f t="shared" ref="E65:E70" si="3">(C65)*D65</f>
        <v>46.02</v>
      </c>
    </row>
    <row r="66" spans="1:5" s="34" customFormat="1" x14ac:dyDescent="0.25">
      <c r="A66" s="59" t="s">
        <v>2</v>
      </c>
      <c r="B66" s="276" t="s">
        <v>195</v>
      </c>
      <c r="C66" s="50">
        <f>E$25+E$54+E$62+E84</f>
        <v>4948.26</v>
      </c>
      <c r="D66" s="63">
        <v>1.66E-2</v>
      </c>
      <c r="E66" s="84">
        <f t="shared" si="3"/>
        <v>82.14</v>
      </c>
    </row>
    <row r="67" spans="1:5" s="34" customFormat="1" x14ac:dyDescent="0.25">
      <c r="A67" s="59" t="s">
        <v>3</v>
      </c>
      <c r="B67" s="276" t="s">
        <v>196</v>
      </c>
      <c r="C67" s="50">
        <f>E$25+E$54+E$62+E84</f>
        <v>4948.26</v>
      </c>
      <c r="D67" s="63">
        <v>2.0000000000000001E-4</v>
      </c>
      <c r="E67" s="84">
        <f t="shared" si="3"/>
        <v>0.99</v>
      </c>
    </row>
    <row r="68" spans="1:5" s="34" customFormat="1" x14ac:dyDescent="0.25">
      <c r="A68" s="59" t="s">
        <v>5</v>
      </c>
      <c r="B68" s="276" t="s">
        <v>197</v>
      </c>
      <c r="C68" s="50">
        <f>E$25+E$54+E$62+E84</f>
        <v>4948.26</v>
      </c>
      <c r="D68" s="63">
        <v>2.7000000000000001E-3</v>
      </c>
      <c r="E68" s="84">
        <f t="shared" si="3"/>
        <v>13.36</v>
      </c>
    </row>
    <row r="69" spans="1:5" s="34" customFormat="1" x14ac:dyDescent="0.25">
      <c r="A69" s="59" t="s">
        <v>22</v>
      </c>
      <c r="B69" s="276" t="s">
        <v>198</v>
      </c>
      <c r="C69" s="50">
        <f>E$25+E$54+E$62+E84</f>
        <v>4948.26</v>
      </c>
      <c r="D69" s="63">
        <v>2.9999999999999997E-4</v>
      </c>
      <c r="E69" s="84">
        <f t="shared" si="3"/>
        <v>1.48</v>
      </c>
    </row>
    <row r="70" spans="1:5" s="34" customFormat="1" x14ac:dyDescent="0.25">
      <c r="A70" s="59" t="s">
        <v>24</v>
      </c>
      <c r="B70" s="276" t="s">
        <v>199</v>
      </c>
      <c r="C70" s="50">
        <f>E$25+E$54+E$62+E84</f>
        <v>4948.26</v>
      </c>
      <c r="D70" s="63">
        <v>0</v>
      </c>
      <c r="E70" s="84">
        <f t="shared" si="3"/>
        <v>0</v>
      </c>
    </row>
    <row r="71" spans="1:5" s="34" customFormat="1" ht="15.75" customHeight="1" x14ac:dyDescent="0.25">
      <c r="A71" s="383" t="s">
        <v>200</v>
      </c>
      <c r="B71" s="384"/>
      <c r="C71" s="385"/>
      <c r="D71" s="98">
        <f>SUM(D65:D70)</f>
        <v>2.9100000000000001E-2</v>
      </c>
      <c r="E71" s="85">
        <f>SUM(E65:E70)</f>
        <v>143.99</v>
      </c>
    </row>
    <row r="72" spans="1:5" s="34" customFormat="1" ht="15.75" customHeight="1" x14ac:dyDescent="0.25">
      <c r="A72" s="380" t="s">
        <v>201</v>
      </c>
      <c r="B72" s="381"/>
      <c r="C72" s="381"/>
      <c r="D72" s="381"/>
      <c r="E72" s="382"/>
    </row>
    <row r="73" spans="1:5" s="34" customFormat="1" x14ac:dyDescent="0.25">
      <c r="A73" s="271"/>
      <c r="B73" s="58" t="s">
        <v>201</v>
      </c>
      <c r="C73" s="100"/>
      <c r="D73" s="100"/>
      <c r="E73" s="92" t="s">
        <v>10</v>
      </c>
    </row>
    <row r="74" spans="1:5" s="34" customFormat="1" ht="15.75" customHeight="1" x14ac:dyDescent="0.25">
      <c r="A74" s="59" t="s">
        <v>0</v>
      </c>
      <c r="B74" s="71" t="s">
        <v>202</v>
      </c>
      <c r="C74" s="49"/>
      <c r="D74" s="63">
        <v>0</v>
      </c>
      <c r="E74" s="84">
        <f>(E$25+E$54+E$62)*D74</f>
        <v>0</v>
      </c>
    </row>
    <row r="75" spans="1:5" s="34" customFormat="1" ht="15.75" customHeight="1" x14ac:dyDescent="0.25">
      <c r="A75" s="383" t="s">
        <v>203</v>
      </c>
      <c r="B75" s="384"/>
      <c r="C75" s="385"/>
      <c r="D75" s="86">
        <f>SUM(D74:D74)</f>
        <v>0</v>
      </c>
      <c r="E75" s="85">
        <f>SUM(E74:E74)</f>
        <v>0</v>
      </c>
    </row>
    <row r="76" spans="1:5" s="34" customFormat="1" ht="15.75" customHeight="1" x14ac:dyDescent="0.25">
      <c r="A76" s="449" t="s">
        <v>223</v>
      </c>
      <c r="B76" s="450"/>
      <c r="C76" s="450"/>
      <c r="D76" s="450"/>
      <c r="E76" s="451"/>
    </row>
    <row r="77" spans="1:5" s="34" customFormat="1" ht="15.75" customHeight="1" x14ac:dyDescent="0.25">
      <c r="A77" s="271">
        <v>4</v>
      </c>
      <c r="B77" s="110" t="s">
        <v>224</v>
      </c>
      <c r="C77" s="111"/>
      <c r="D77" s="112"/>
      <c r="E77" s="92" t="s">
        <v>10</v>
      </c>
    </row>
    <row r="78" spans="1:5" s="34" customFormat="1" ht="15.75" customHeight="1" x14ac:dyDescent="0.25">
      <c r="A78" s="59" t="s">
        <v>28</v>
      </c>
      <c r="B78" s="60" t="s">
        <v>222</v>
      </c>
      <c r="C78" s="111"/>
      <c r="D78" s="63">
        <f>D71</f>
        <v>2.9100000000000001E-2</v>
      </c>
      <c r="E78" s="84">
        <f>E71</f>
        <v>143.99</v>
      </c>
    </row>
    <row r="79" spans="1:5" s="34" customFormat="1" ht="15.75" customHeight="1" x14ac:dyDescent="0.25">
      <c r="A79" s="59" t="s">
        <v>32</v>
      </c>
      <c r="B79" s="60" t="s">
        <v>201</v>
      </c>
      <c r="C79" s="111"/>
      <c r="D79" s="63">
        <v>0</v>
      </c>
      <c r="E79" s="84">
        <f>(D$25+D$53+D$61)*D79</f>
        <v>0</v>
      </c>
    </row>
    <row r="80" spans="1:5" s="34" customFormat="1" ht="15.75" customHeight="1" x14ac:dyDescent="0.25">
      <c r="A80" s="383" t="s">
        <v>31</v>
      </c>
      <c r="B80" s="384"/>
      <c r="C80" s="385"/>
      <c r="D80" s="86">
        <f>SUM(D78:D79)</f>
        <v>2.9100000000000001E-2</v>
      </c>
      <c r="E80" s="85">
        <f>SUM(E78:E79)</f>
        <v>143.99</v>
      </c>
    </row>
    <row r="81" spans="1:5" s="34" customFormat="1" ht="15.75" customHeight="1" x14ac:dyDescent="0.25">
      <c r="A81" s="371" t="s">
        <v>161</v>
      </c>
      <c r="B81" s="372"/>
      <c r="C81" s="372"/>
      <c r="D81" s="373"/>
      <c r="E81" s="99">
        <f>SUM(E71+E75)</f>
        <v>143.99</v>
      </c>
    </row>
    <row r="82" spans="1:5" s="34" customFormat="1" ht="15.75" customHeight="1" x14ac:dyDescent="0.25">
      <c r="A82" s="374" t="s">
        <v>170</v>
      </c>
      <c r="B82" s="375"/>
      <c r="C82" s="375"/>
      <c r="D82" s="375"/>
      <c r="E82" s="376"/>
    </row>
    <row r="83" spans="1:5" s="34" customFormat="1" ht="15.75" customHeight="1" x14ac:dyDescent="0.25">
      <c r="A83" s="271">
        <v>5</v>
      </c>
      <c r="B83" s="287" t="s">
        <v>27</v>
      </c>
      <c r="C83" s="100"/>
      <c r="D83" s="100"/>
      <c r="E83" s="92" t="s">
        <v>10</v>
      </c>
    </row>
    <row r="84" spans="1:5" s="34" customFormat="1" ht="15.75" customHeight="1" x14ac:dyDescent="0.25">
      <c r="A84" s="285" t="s">
        <v>0</v>
      </c>
      <c r="B84" s="274" t="s">
        <v>225</v>
      </c>
      <c r="C84" s="70"/>
      <c r="D84" s="67"/>
      <c r="E84" s="84">
        <f>'EPI''s e Uniformes'!I14+'EPI''s e Uniformes'!I20</f>
        <v>57.64</v>
      </c>
    </row>
    <row r="85" spans="1:5" s="34" customFormat="1" ht="15.75" customHeight="1" x14ac:dyDescent="0.25">
      <c r="A85" s="285" t="s">
        <v>2</v>
      </c>
      <c r="B85" s="274" t="s">
        <v>226</v>
      </c>
      <c r="C85" s="70"/>
      <c r="D85" s="67"/>
      <c r="E85" s="84">
        <f>'Material de Limpeza'!I26</f>
        <v>676.27</v>
      </c>
    </row>
    <row r="86" spans="1:5" s="34" customFormat="1" ht="15.75" customHeight="1" x14ac:dyDescent="0.25">
      <c r="A86" s="285" t="s">
        <v>3</v>
      </c>
      <c r="B86" s="274" t="s">
        <v>208</v>
      </c>
      <c r="C86" s="70"/>
      <c r="D86" s="67"/>
      <c r="E86" s="84">
        <f>Equipamentos!I34</f>
        <v>47.95</v>
      </c>
    </row>
    <row r="87" spans="1:5" s="34" customFormat="1" ht="15.75" customHeight="1" x14ac:dyDescent="0.25">
      <c r="A87" s="285" t="s">
        <v>5</v>
      </c>
      <c r="B87" s="274" t="s">
        <v>133</v>
      </c>
      <c r="C87" s="70"/>
      <c r="D87" s="67"/>
      <c r="E87" s="84">
        <v>0</v>
      </c>
    </row>
    <row r="88" spans="1:5" s="34" customFormat="1" ht="15.75" customHeight="1" x14ac:dyDescent="0.25">
      <c r="A88" s="377" t="s">
        <v>162</v>
      </c>
      <c r="B88" s="378"/>
      <c r="C88" s="378"/>
      <c r="D88" s="379"/>
      <c r="E88" s="90">
        <f>SUM(E84:E87)</f>
        <v>781.86</v>
      </c>
    </row>
    <row r="89" spans="1:5" s="34" customFormat="1" ht="23.25" customHeight="1" x14ac:dyDescent="0.25">
      <c r="A89" s="368" t="s">
        <v>227</v>
      </c>
      <c r="B89" s="369"/>
      <c r="C89" s="369"/>
      <c r="D89" s="370"/>
      <c r="E89" s="109">
        <f>E88+E81+E62+E54+E25</f>
        <v>5816.47</v>
      </c>
    </row>
    <row r="90" spans="1:5" s="34" customFormat="1" ht="19.5" customHeight="1" x14ac:dyDescent="0.25">
      <c r="A90" s="374" t="s">
        <v>171</v>
      </c>
      <c r="B90" s="375"/>
      <c r="C90" s="375"/>
      <c r="D90" s="375"/>
      <c r="E90" s="376"/>
    </row>
    <row r="91" spans="1:5" s="34" customFormat="1" x14ac:dyDescent="0.25">
      <c r="A91" s="271">
        <v>6</v>
      </c>
      <c r="B91" s="287" t="s">
        <v>38</v>
      </c>
      <c r="C91" s="47" t="s">
        <v>204</v>
      </c>
      <c r="D91" s="47"/>
      <c r="E91" s="92" t="s">
        <v>10</v>
      </c>
    </row>
    <row r="92" spans="1:5" s="34" customFormat="1" x14ac:dyDescent="0.25">
      <c r="A92" s="271" t="s">
        <v>0</v>
      </c>
      <c r="B92" s="60" t="s">
        <v>39</v>
      </c>
      <c r="C92" s="102">
        <f>E89</f>
        <v>5816.47</v>
      </c>
      <c r="D92" s="63">
        <v>0.05</v>
      </c>
      <c r="E92" s="84">
        <f>C92*D92</f>
        <v>290.82</v>
      </c>
    </row>
    <row r="93" spans="1:5" s="34" customFormat="1" x14ac:dyDescent="0.25">
      <c r="A93" s="271" t="s">
        <v>2</v>
      </c>
      <c r="B93" s="60" t="s">
        <v>40</v>
      </c>
      <c r="C93" s="102">
        <f>E89+E92</f>
        <v>6107.29</v>
      </c>
      <c r="D93" s="63">
        <v>0.1</v>
      </c>
      <c r="E93" s="84">
        <f>D93*C93</f>
        <v>610.73</v>
      </c>
    </row>
    <row r="94" spans="1:5" s="34" customFormat="1" ht="30.75" customHeight="1" x14ac:dyDescent="0.25">
      <c r="A94" s="393" t="s">
        <v>3</v>
      </c>
      <c r="B94" s="71" t="s">
        <v>228</v>
      </c>
      <c r="C94" s="60"/>
      <c r="D94" s="63">
        <f>1-D102</f>
        <v>0.85750000000000004</v>
      </c>
      <c r="E94" s="84">
        <f>+E89+E92+E93</f>
        <v>6718.02</v>
      </c>
    </row>
    <row r="95" spans="1:5" s="34" customFormat="1" x14ac:dyDescent="0.25">
      <c r="A95" s="393"/>
      <c r="B95" s="272" t="s">
        <v>41</v>
      </c>
      <c r="C95" s="62"/>
      <c r="D95" s="269"/>
      <c r="E95" s="117">
        <f>+E94/D94</f>
        <v>7834.43</v>
      </c>
    </row>
    <row r="96" spans="1:5" s="34" customFormat="1" x14ac:dyDescent="0.25">
      <c r="A96" s="393"/>
      <c r="B96" s="272" t="s">
        <v>42</v>
      </c>
      <c r="C96" s="101"/>
      <c r="D96" s="103"/>
      <c r="E96" s="84"/>
    </row>
    <row r="97" spans="1:5" s="34" customFormat="1" x14ac:dyDescent="0.25">
      <c r="A97" s="393"/>
      <c r="B97" s="71" t="s">
        <v>395</v>
      </c>
      <c r="C97" s="78">
        <f>E95</f>
        <v>7834.43</v>
      </c>
      <c r="D97" s="63">
        <v>1.6500000000000001E-2</v>
      </c>
      <c r="E97" s="84">
        <f>C97*D97</f>
        <v>129.27000000000001</v>
      </c>
    </row>
    <row r="98" spans="1:5" s="34" customFormat="1" x14ac:dyDescent="0.25">
      <c r="A98" s="393"/>
      <c r="B98" s="71" t="s">
        <v>396</v>
      </c>
      <c r="C98" s="78">
        <f>E95</f>
        <v>7834.43</v>
      </c>
      <c r="D98" s="63">
        <v>7.5999999999999998E-2</v>
      </c>
      <c r="E98" s="84">
        <f>C98*D98</f>
        <v>595.41999999999996</v>
      </c>
    </row>
    <row r="99" spans="1:5" s="34" customFormat="1" x14ac:dyDescent="0.25">
      <c r="A99" s="393"/>
      <c r="B99" s="289" t="s">
        <v>43</v>
      </c>
      <c r="C99" s="79"/>
      <c r="D99" s="269"/>
      <c r="E99" s="84"/>
    </row>
    <row r="100" spans="1:5" s="34" customFormat="1" x14ac:dyDescent="0.25">
      <c r="A100" s="393"/>
      <c r="B100" s="289" t="s">
        <v>44</v>
      </c>
      <c r="C100" s="79"/>
      <c r="D100" s="79"/>
      <c r="E100" s="84"/>
    </row>
    <row r="101" spans="1:5" s="34" customFormat="1" ht="16.5" thickBot="1" x14ac:dyDescent="0.3">
      <c r="A101" s="394"/>
      <c r="B101" s="290" t="s">
        <v>397</v>
      </c>
      <c r="C101" s="80">
        <f>E95</f>
        <v>7834.43</v>
      </c>
      <c r="D101" s="104">
        <v>0.05</v>
      </c>
      <c r="E101" s="118">
        <f>C101*D101</f>
        <v>391.72</v>
      </c>
    </row>
    <row r="102" spans="1:5" s="34" customFormat="1" ht="16.5" thickBot="1" x14ac:dyDescent="0.3">
      <c r="A102" s="72"/>
      <c r="B102" s="366" t="s">
        <v>45</v>
      </c>
      <c r="C102" s="367"/>
      <c r="D102" s="116">
        <f>SUM(D97:D101)</f>
        <v>0.14249999999999999</v>
      </c>
      <c r="E102" s="115">
        <f>SUM(E97:E101)</f>
        <v>1116.4100000000001</v>
      </c>
    </row>
    <row r="103" spans="1:5" s="34" customFormat="1" ht="15.75" customHeight="1" x14ac:dyDescent="0.25">
      <c r="A103" s="395" t="s">
        <v>46</v>
      </c>
      <c r="B103" s="396"/>
      <c r="C103" s="396"/>
      <c r="D103" s="397"/>
      <c r="E103" s="105">
        <f>+E92+E93+E102</f>
        <v>2017.96</v>
      </c>
    </row>
    <row r="104" spans="1:5" s="34" customFormat="1" ht="15.75" customHeight="1" x14ac:dyDescent="0.25">
      <c r="A104" s="398" t="s">
        <v>47</v>
      </c>
      <c r="B104" s="399"/>
      <c r="C104" s="399"/>
      <c r="D104" s="400"/>
      <c r="E104" s="106" t="s">
        <v>10</v>
      </c>
    </row>
    <row r="105" spans="1:5" s="34" customFormat="1" x14ac:dyDescent="0.25">
      <c r="A105" s="59" t="s">
        <v>0</v>
      </c>
      <c r="B105" s="401" t="s">
        <v>48</v>
      </c>
      <c r="C105" s="402"/>
      <c r="D105" s="403"/>
      <c r="E105" s="84">
        <f>+E25</f>
        <v>2473.9299999999998</v>
      </c>
    </row>
    <row r="106" spans="1:5" s="34" customFormat="1" x14ac:dyDescent="0.25">
      <c r="A106" s="59" t="s">
        <v>2</v>
      </c>
      <c r="B106" s="401" t="s">
        <v>165</v>
      </c>
      <c r="C106" s="402"/>
      <c r="D106" s="403"/>
      <c r="E106" s="84">
        <f>+E54</f>
        <v>2239.81</v>
      </c>
    </row>
    <row r="107" spans="1:5" s="34" customFormat="1" x14ac:dyDescent="0.25">
      <c r="A107" s="59" t="s">
        <v>3</v>
      </c>
      <c r="B107" s="401" t="s">
        <v>163</v>
      </c>
      <c r="C107" s="402"/>
      <c r="D107" s="403"/>
      <c r="E107" s="84">
        <f>E62</f>
        <v>176.88</v>
      </c>
    </row>
    <row r="108" spans="1:5" s="34" customFormat="1" x14ac:dyDescent="0.25">
      <c r="A108" s="59" t="s">
        <v>5</v>
      </c>
      <c r="B108" s="401" t="s">
        <v>156</v>
      </c>
      <c r="C108" s="402"/>
      <c r="D108" s="403"/>
      <c r="E108" s="84">
        <f>E81</f>
        <v>143.99</v>
      </c>
    </row>
    <row r="109" spans="1:5" s="34" customFormat="1" x14ac:dyDescent="0.25">
      <c r="A109" s="59" t="s">
        <v>22</v>
      </c>
      <c r="B109" s="401" t="s">
        <v>164</v>
      </c>
      <c r="C109" s="402"/>
      <c r="D109" s="403"/>
      <c r="E109" s="84">
        <f>E88</f>
        <v>781.86</v>
      </c>
    </row>
    <row r="110" spans="1:5" s="34" customFormat="1" ht="15.75" customHeight="1" x14ac:dyDescent="0.25">
      <c r="A110" s="404" t="s">
        <v>166</v>
      </c>
      <c r="B110" s="405"/>
      <c r="C110" s="405"/>
      <c r="D110" s="406"/>
      <c r="E110" s="107">
        <f>SUM(E105:E109)</f>
        <v>5816.47</v>
      </c>
    </row>
    <row r="111" spans="1:5" s="34" customFormat="1" x14ac:dyDescent="0.25">
      <c r="A111" s="271" t="s">
        <v>24</v>
      </c>
      <c r="B111" s="401" t="s">
        <v>167</v>
      </c>
      <c r="C111" s="402"/>
      <c r="D111" s="403"/>
      <c r="E111" s="84">
        <f>+E103</f>
        <v>2017.96</v>
      </c>
    </row>
    <row r="112" spans="1:5" s="34" customFormat="1" ht="16.5" customHeight="1" thickBot="1" x14ac:dyDescent="0.3">
      <c r="A112" s="407" t="s">
        <v>49</v>
      </c>
      <c r="B112" s="408"/>
      <c r="C112" s="408"/>
      <c r="D112" s="409"/>
      <c r="E112" s="108">
        <f>+E110+E111</f>
        <v>7834.43</v>
      </c>
    </row>
    <row r="113" spans="2:5" x14ac:dyDescent="0.25">
      <c r="D113" s="35"/>
      <c r="E113" s="37"/>
    </row>
    <row r="114" spans="2:5" x14ac:dyDescent="0.25">
      <c r="B114" s="32"/>
      <c r="C114" s="32"/>
      <c r="D114" s="35"/>
      <c r="E114" s="38"/>
    </row>
    <row r="115" spans="2:5" x14ac:dyDescent="0.25">
      <c r="B115" s="32"/>
      <c r="C115" s="32"/>
      <c r="D115" s="35"/>
      <c r="E115" s="38" t="s">
        <v>128</v>
      </c>
    </row>
    <row r="116" spans="2:5" x14ac:dyDescent="0.25">
      <c r="B116" s="32"/>
      <c r="C116" s="392"/>
      <c r="D116" s="392"/>
      <c r="E116" s="392"/>
    </row>
    <row r="117" spans="2:5" x14ac:dyDescent="0.25">
      <c r="B117" s="32"/>
      <c r="C117" s="32"/>
      <c r="D117" s="35"/>
      <c r="E117" s="39"/>
    </row>
    <row r="119" spans="2:5" x14ac:dyDescent="0.25">
      <c r="B119" s="40"/>
    </row>
    <row r="124" spans="2:5" x14ac:dyDescent="0.25">
      <c r="B124" s="32"/>
      <c r="C124" s="32"/>
    </row>
  </sheetData>
  <mergeCells count="59">
    <mergeCell ref="A11:D11"/>
    <mergeCell ref="A1:E1"/>
    <mergeCell ref="A2:E2"/>
    <mergeCell ref="A3:E3"/>
    <mergeCell ref="C4:E4"/>
    <mergeCell ref="C5:E5"/>
    <mergeCell ref="C6:E6"/>
    <mergeCell ref="C7:E7"/>
    <mergeCell ref="A8:E8"/>
    <mergeCell ref="A9:E9"/>
    <mergeCell ref="A10:E10"/>
    <mergeCell ref="C24:D24"/>
    <mergeCell ref="C12:E12"/>
    <mergeCell ref="C14:E14"/>
    <mergeCell ref="C15:E15"/>
    <mergeCell ref="A16:E16"/>
    <mergeCell ref="B17:D17"/>
    <mergeCell ref="C18:D18"/>
    <mergeCell ref="C19:D19"/>
    <mergeCell ref="C20:D20"/>
    <mergeCell ref="C21:D21"/>
    <mergeCell ref="C22:D22"/>
    <mergeCell ref="C23:D23"/>
    <mergeCell ref="C13:E13"/>
    <mergeCell ref="A63:E63"/>
    <mergeCell ref="A25:D25"/>
    <mergeCell ref="A26:E26"/>
    <mergeCell ref="A30:C30"/>
    <mergeCell ref="A31:E31"/>
    <mergeCell ref="A41:C41"/>
    <mergeCell ref="A42:E42"/>
    <mergeCell ref="A49:D49"/>
    <mergeCell ref="A50:E50"/>
    <mergeCell ref="A54:D54"/>
    <mergeCell ref="A55:E55"/>
    <mergeCell ref="A62:C62"/>
    <mergeCell ref="A103:D103"/>
    <mergeCell ref="A71:C71"/>
    <mergeCell ref="A72:E72"/>
    <mergeCell ref="A75:C75"/>
    <mergeCell ref="A76:E76"/>
    <mergeCell ref="A80:C80"/>
    <mergeCell ref="A81:D81"/>
    <mergeCell ref="A82:E82"/>
    <mergeCell ref="A88:D88"/>
    <mergeCell ref="A89:D89"/>
    <mergeCell ref="A90:E90"/>
    <mergeCell ref="A94:A101"/>
    <mergeCell ref="B102:C102"/>
    <mergeCell ref="A110:D110"/>
    <mergeCell ref="B111:D111"/>
    <mergeCell ref="A112:D112"/>
    <mergeCell ref="C116:E116"/>
    <mergeCell ref="A104:D104"/>
    <mergeCell ref="B105:D105"/>
    <mergeCell ref="B106:D106"/>
    <mergeCell ref="B107:D107"/>
    <mergeCell ref="B108:D108"/>
    <mergeCell ref="B109:D109"/>
  </mergeCells>
  <hyperlinks>
    <hyperlink ref="B40" r:id="rId1" display="08 - Sebrae 0,3% ou 0,6% - IN nº 03, MPS/SRP/2005, Anexo II e III ver código da Tabela"/>
  </hyperlinks>
  <pageMargins left="0.7" right="0.7" top="0.75" bottom="0.75" header="0.3" footer="0.3"/>
  <pageSetup paperSize="9" scale="38" orientation="portrait"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4"/>
  <sheetViews>
    <sheetView view="pageBreakPreview" topLeftCell="A82" zoomScaleNormal="115" zoomScaleSheetLayoutView="100" workbookViewId="0">
      <selection activeCell="D92" sqref="D92:D93"/>
    </sheetView>
  </sheetViews>
  <sheetFormatPr defaultColWidth="9.140625" defaultRowHeight="15.75" x14ac:dyDescent="0.25"/>
  <cols>
    <col min="1" max="1" width="4.42578125" style="33" bestFit="1" customWidth="1"/>
    <col min="2" max="2" width="72.7109375" style="35" customWidth="1"/>
    <col min="3" max="3" width="20.7109375" style="35" customWidth="1"/>
    <col min="4" max="4" width="8.7109375" style="36" customWidth="1"/>
    <col min="5" max="5" width="15.7109375" style="41" customWidth="1"/>
    <col min="6" max="16384" width="9.140625" style="32"/>
  </cols>
  <sheetData>
    <row r="1" spans="1:5" x14ac:dyDescent="0.25">
      <c r="A1" s="386"/>
      <c r="B1" s="387"/>
      <c r="C1" s="387"/>
      <c r="D1" s="387"/>
      <c r="E1" s="388"/>
    </row>
    <row r="2" spans="1:5" s="45" customFormat="1" ht="16.5" customHeight="1" thickBot="1" x14ac:dyDescent="0.3">
      <c r="A2" s="420"/>
      <c r="B2" s="421"/>
      <c r="C2" s="421"/>
      <c r="D2" s="421"/>
      <c r="E2" s="422"/>
    </row>
    <row r="3" spans="1:5" s="45" customFormat="1" x14ac:dyDescent="0.25">
      <c r="A3" s="426" t="s">
        <v>128</v>
      </c>
      <c r="B3" s="427"/>
      <c r="C3" s="427"/>
      <c r="D3" s="427"/>
      <c r="E3" s="428"/>
    </row>
    <row r="4" spans="1:5" s="45" customFormat="1" ht="15" customHeight="1" x14ac:dyDescent="0.25">
      <c r="A4" s="52" t="s">
        <v>0</v>
      </c>
      <c r="B4" s="53" t="s">
        <v>1</v>
      </c>
      <c r="C4" s="423">
        <v>2024</v>
      </c>
      <c r="D4" s="424"/>
      <c r="E4" s="425"/>
    </row>
    <row r="5" spans="1:5" s="45" customFormat="1" ht="60" customHeight="1" x14ac:dyDescent="0.25">
      <c r="A5" s="52" t="s">
        <v>2</v>
      </c>
      <c r="B5" s="53" t="s">
        <v>137</v>
      </c>
      <c r="C5" s="389" t="s">
        <v>240</v>
      </c>
      <c r="D5" s="390"/>
      <c r="E5" s="391"/>
    </row>
    <row r="6" spans="1:5" s="45" customFormat="1" ht="15.75" customHeight="1" x14ac:dyDescent="0.25">
      <c r="A6" s="52" t="s">
        <v>3</v>
      </c>
      <c r="B6" s="53" t="s">
        <v>4</v>
      </c>
      <c r="C6" s="389" t="s">
        <v>391</v>
      </c>
      <c r="D6" s="390"/>
      <c r="E6" s="391"/>
    </row>
    <row r="7" spans="1:5" s="45" customFormat="1" x14ac:dyDescent="0.25">
      <c r="A7" s="52"/>
      <c r="B7" s="53" t="s">
        <v>209</v>
      </c>
      <c r="C7" s="389">
        <v>12</v>
      </c>
      <c r="D7" s="390"/>
      <c r="E7" s="391"/>
    </row>
    <row r="8" spans="1:5" s="45" customFormat="1" x14ac:dyDescent="0.25">
      <c r="A8" s="429" t="s">
        <v>6</v>
      </c>
      <c r="B8" s="430"/>
      <c r="C8" s="430"/>
      <c r="D8" s="430"/>
      <c r="E8" s="431"/>
    </row>
    <row r="9" spans="1:5" s="45" customFormat="1" x14ac:dyDescent="0.25">
      <c r="A9" s="432" t="s">
        <v>7</v>
      </c>
      <c r="B9" s="433"/>
      <c r="C9" s="433"/>
      <c r="D9" s="433"/>
      <c r="E9" s="434"/>
    </row>
    <row r="10" spans="1:5" s="45" customFormat="1" ht="15.75" customHeight="1" x14ac:dyDescent="0.25">
      <c r="A10" s="417" t="s">
        <v>8</v>
      </c>
      <c r="B10" s="418"/>
      <c r="C10" s="418"/>
      <c r="D10" s="418"/>
      <c r="E10" s="419"/>
    </row>
    <row r="11" spans="1:5" s="45" customFormat="1" ht="30" customHeight="1" x14ac:dyDescent="0.25">
      <c r="A11" s="440" t="s">
        <v>9</v>
      </c>
      <c r="B11" s="441"/>
      <c r="C11" s="441"/>
      <c r="D11" s="442"/>
      <c r="E11" s="200" t="s">
        <v>10</v>
      </c>
    </row>
    <row r="12" spans="1:5" s="45" customFormat="1" ht="15.75" customHeight="1" x14ac:dyDescent="0.25">
      <c r="A12" s="52">
        <v>1</v>
      </c>
      <c r="B12" s="54" t="s">
        <v>129</v>
      </c>
      <c r="C12" s="435" t="s">
        <v>244</v>
      </c>
      <c r="D12" s="436"/>
      <c r="E12" s="437"/>
    </row>
    <row r="13" spans="1:5" s="45" customFormat="1" ht="30" customHeight="1" x14ac:dyDescent="0.25">
      <c r="A13" s="52">
        <v>2</v>
      </c>
      <c r="B13" s="54" t="s">
        <v>11</v>
      </c>
      <c r="C13" s="446">
        <v>2884.98</v>
      </c>
      <c r="D13" s="447"/>
      <c r="E13" s="448"/>
    </row>
    <row r="14" spans="1:5" s="45" customFormat="1" ht="15.75" customHeight="1" x14ac:dyDescent="0.25">
      <c r="A14" s="52">
        <v>3</v>
      </c>
      <c r="B14" s="54" t="s">
        <v>12</v>
      </c>
      <c r="C14" s="435" t="s">
        <v>242</v>
      </c>
      <c r="D14" s="436"/>
      <c r="E14" s="437"/>
    </row>
    <row r="15" spans="1:5" s="45" customFormat="1" x14ac:dyDescent="0.25">
      <c r="A15" s="52">
        <v>4</v>
      </c>
      <c r="B15" s="55" t="s">
        <v>13</v>
      </c>
      <c r="C15" s="443">
        <v>2024</v>
      </c>
      <c r="D15" s="444"/>
      <c r="E15" s="445"/>
    </row>
    <row r="16" spans="1:5" s="46" customFormat="1" x14ac:dyDescent="0.25">
      <c r="A16" s="374" t="s">
        <v>14</v>
      </c>
      <c r="B16" s="375"/>
      <c r="C16" s="375"/>
      <c r="D16" s="375"/>
      <c r="E16" s="376"/>
    </row>
    <row r="17" spans="1:5" s="46" customFormat="1" x14ac:dyDescent="0.25">
      <c r="A17" s="56">
        <v>1</v>
      </c>
      <c r="B17" s="414" t="s">
        <v>15</v>
      </c>
      <c r="C17" s="415"/>
      <c r="D17" s="416"/>
      <c r="E17" s="87" t="s">
        <v>10</v>
      </c>
    </row>
    <row r="18" spans="1:5" s="45" customFormat="1" ht="15.75" customHeight="1" x14ac:dyDescent="0.25">
      <c r="A18" s="57" t="s">
        <v>0</v>
      </c>
      <c r="B18" s="273" t="s">
        <v>16</v>
      </c>
      <c r="C18" s="438"/>
      <c r="D18" s="439"/>
      <c r="E18" s="88">
        <f>C13</f>
        <v>2884.98</v>
      </c>
    </row>
    <row r="19" spans="1:5" s="45" customFormat="1" ht="15.75" customHeight="1" x14ac:dyDescent="0.25">
      <c r="A19" s="57" t="s">
        <v>2</v>
      </c>
      <c r="B19" s="273" t="s">
        <v>17</v>
      </c>
      <c r="C19" s="410" t="s">
        <v>18</v>
      </c>
      <c r="D19" s="411"/>
      <c r="E19" s="89"/>
    </row>
    <row r="20" spans="1:5" s="45" customFormat="1" ht="15.75" customHeight="1" x14ac:dyDescent="0.25">
      <c r="A20" s="57" t="s">
        <v>3</v>
      </c>
      <c r="B20" s="273" t="s">
        <v>19</v>
      </c>
      <c r="C20" s="452" t="s">
        <v>358</v>
      </c>
      <c r="D20" s="453"/>
      <c r="E20" s="89">
        <f>40%*1412</f>
        <v>564.79999999999995</v>
      </c>
    </row>
    <row r="21" spans="1:5" s="45" customFormat="1" ht="15.75" customHeight="1" x14ac:dyDescent="0.25">
      <c r="A21" s="57" t="s">
        <v>5</v>
      </c>
      <c r="B21" s="273" t="s">
        <v>20</v>
      </c>
      <c r="C21" s="410" t="s">
        <v>21</v>
      </c>
      <c r="D21" s="411"/>
      <c r="E21" s="89"/>
    </row>
    <row r="22" spans="1:5" s="45" customFormat="1" ht="15.75" customHeight="1" x14ac:dyDescent="0.25">
      <c r="A22" s="57" t="s">
        <v>22</v>
      </c>
      <c r="B22" s="273" t="s">
        <v>213</v>
      </c>
      <c r="C22" s="410" t="s">
        <v>23</v>
      </c>
      <c r="D22" s="411"/>
      <c r="E22" s="89"/>
    </row>
    <row r="23" spans="1:5" s="45" customFormat="1" x14ac:dyDescent="0.25">
      <c r="A23" s="57" t="s">
        <v>24</v>
      </c>
      <c r="B23" s="273" t="s">
        <v>134</v>
      </c>
      <c r="C23" s="412"/>
      <c r="D23" s="413"/>
      <c r="E23" s="89"/>
    </row>
    <row r="24" spans="1:5" s="45" customFormat="1" ht="15.75" customHeight="1" x14ac:dyDescent="0.25">
      <c r="A24" s="57" t="s">
        <v>25</v>
      </c>
      <c r="B24" s="274" t="s">
        <v>135</v>
      </c>
      <c r="C24" s="412"/>
      <c r="D24" s="413"/>
      <c r="E24" s="89"/>
    </row>
    <row r="25" spans="1:5" s="46" customFormat="1" ht="15.75" customHeight="1" x14ac:dyDescent="0.25">
      <c r="A25" s="377" t="s">
        <v>158</v>
      </c>
      <c r="B25" s="378"/>
      <c r="C25" s="378"/>
      <c r="D25" s="379"/>
      <c r="E25" s="90">
        <f>SUM(E18:E24)</f>
        <v>3449.78</v>
      </c>
    </row>
    <row r="26" spans="1:5" s="46" customFormat="1" x14ac:dyDescent="0.25">
      <c r="A26" s="374" t="s">
        <v>50</v>
      </c>
      <c r="B26" s="375"/>
      <c r="C26" s="375"/>
      <c r="D26" s="375"/>
      <c r="E26" s="376"/>
    </row>
    <row r="27" spans="1:5" s="45" customFormat="1" x14ac:dyDescent="0.25">
      <c r="A27" s="81">
        <v>2</v>
      </c>
      <c r="B27" s="275" t="s">
        <v>214</v>
      </c>
      <c r="C27" s="82" t="s">
        <v>204</v>
      </c>
      <c r="D27" s="83"/>
      <c r="E27" s="91" t="s">
        <v>10</v>
      </c>
    </row>
    <row r="28" spans="1:5" s="45" customFormat="1" x14ac:dyDescent="0.25">
      <c r="A28" s="59" t="s">
        <v>0</v>
      </c>
      <c r="B28" s="60" t="s">
        <v>33</v>
      </c>
      <c r="C28" s="48">
        <f>E25</f>
        <v>3449.78</v>
      </c>
      <c r="D28" s="63">
        <f>1/12</f>
        <v>8.3299999999999999E-2</v>
      </c>
      <c r="E28" s="84">
        <f>(C28)*D28</f>
        <v>287.37</v>
      </c>
    </row>
    <row r="29" spans="1:5" s="45" customFormat="1" x14ac:dyDescent="0.25">
      <c r="A29" s="59" t="s">
        <v>2</v>
      </c>
      <c r="B29" s="276" t="s">
        <v>394</v>
      </c>
      <c r="C29" s="48">
        <f>E25</f>
        <v>3449.78</v>
      </c>
      <c r="D29" s="63">
        <v>0.1111</v>
      </c>
      <c r="E29" s="84">
        <f>(C29)*D29</f>
        <v>383.27</v>
      </c>
    </row>
    <row r="30" spans="1:5" x14ac:dyDescent="0.25">
      <c r="A30" s="383" t="s">
        <v>31</v>
      </c>
      <c r="B30" s="384"/>
      <c r="C30" s="385"/>
      <c r="D30" s="86">
        <f>SUM(D28:D29)</f>
        <v>0.19439999999999999</v>
      </c>
      <c r="E30" s="85">
        <f>SUM(E28:E29)</f>
        <v>670.64</v>
      </c>
    </row>
    <row r="31" spans="1:5" ht="30" customHeight="1" x14ac:dyDescent="0.25">
      <c r="A31" s="454" t="s">
        <v>217</v>
      </c>
      <c r="B31" s="455"/>
      <c r="C31" s="455"/>
      <c r="D31" s="455"/>
      <c r="E31" s="456"/>
    </row>
    <row r="32" spans="1:5" x14ac:dyDescent="0.25">
      <c r="A32" s="271" t="s">
        <v>142</v>
      </c>
      <c r="B32" s="58" t="s">
        <v>29</v>
      </c>
      <c r="C32" s="47" t="s">
        <v>204</v>
      </c>
      <c r="D32" s="61"/>
      <c r="E32" s="92" t="s">
        <v>10</v>
      </c>
    </row>
    <row r="33" spans="1:5" x14ac:dyDescent="0.25">
      <c r="A33" s="59" t="s">
        <v>0</v>
      </c>
      <c r="B33" s="277" t="s">
        <v>398</v>
      </c>
      <c r="C33" s="48">
        <f>E$25+E$30</f>
        <v>4120.42</v>
      </c>
      <c r="D33" s="63">
        <v>0.2</v>
      </c>
      <c r="E33" s="84">
        <f t="shared" ref="E33:E40" si="0">C33*D33</f>
        <v>824.08</v>
      </c>
    </row>
    <row r="34" spans="1:5" x14ac:dyDescent="0.25">
      <c r="A34" s="59" t="s">
        <v>2</v>
      </c>
      <c r="B34" s="277" t="s">
        <v>399</v>
      </c>
      <c r="C34" s="48">
        <f t="shared" ref="C34:C40" si="1">E$25+E$30</f>
        <v>4120.42</v>
      </c>
      <c r="D34" s="278">
        <v>1.4999999999999999E-2</v>
      </c>
      <c r="E34" s="84">
        <f t="shared" si="0"/>
        <v>61.81</v>
      </c>
    </row>
    <row r="35" spans="1:5" x14ac:dyDescent="0.25">
      <c r="A35" s="59" t="s">
        <v>3</v>
      </c>
      <c r="B35" s="277" t="s">
        <v>400</v>
      </c>
      <c r="C35" s="48">
        <f>E$25+E$30</f>
        <v>4120.42</v>
      </c>
      <c r="D35" s="278">
        <v>0.01</v>
      </c>
      <c r="E35" s="84">
        <f t="shared" si="0"/>
        <v>41.2</v>
      </c>
    </row>
    <row r="36" spans="1:5" ht="30" x14ac:dyDescent="0.25">
      <c r="A36" s="59" t="s">
        <v>5</v>
      </c>
      <c r="B36" s="279" t="s">
        <v>401</v>
      </c>
      <c r="C36" s="48">
        <f t="shared" si="1"/>
        <v>4120.42</v>
      </c>
      <c r="D36" s="278">
        <v>2E-3</v>
      </c>
      <c r="E36" s="84">
        <f t="shared" si="0"/>
        <v>8.24</v>
      </c>
    </row>
    <row r="37" spans="1:5" x14ac:dyDescent="0.25">
      <c r="A37" s="59" t="s">
        <v>22</v>
      </c>
      <c r="B37" s="277" t="s">
        <v>402</v>
      </c>
      <c r="C37" s="48">
        <f t="shared" si="1"/>
        <v>4120.42</v>
      </c>
      <c r="D37" s="278">
        <v>2.5000000000000001E-2</v>
      </c>
      <c r="E37" s="84">
        <f t="shared" si="0"/>
        <v>103.01</v>
      </c>
    </row>
    <row r="38" spans="1:5" x14ac:dyDescent="0.25">
      <c r="A38" s="59" t="s">
        <v>24</v>
      </c>
      <c r="B38" s="280" t="s">
        <v>215</v>
      </c>
      <c r="C38" s="48">
        <f t="shared" si="1"/>
        <v>4120.42</v>
      </c>
      <c r="D38" s="278">
        <v>0.08</v>
      </c>
      <c r="E38" s="84">
        <f t="shared" si="0"/>
        <v>329.63</v>
      </c>
    </row>
    <row r="39" spans="1:5" ht="45" x14ac:dyDescent="0.25">
      <c r="A39" s="59" t="s">
        <v>25</v>
      </c>
      <c r="B39" s="279" t="s">
        <v>403</v>
      </c>
      <c r="C39" s="48">
        <f t="shared" si="1"/>
        <v>4120.42</v>
      </c>
      <c r="D39" s="278">
        <v>0.03</v>
      </c>
      <c r="E39" s="84">
        <f t="shared" si="0"/>
        <v>123.61</v>
      </c>
    </row>
    <row r="40" spans="1:5" x14ac:dyDescent="0.25">
      <c r="A40" s="59" t="s">
        <v>30</v>
      </c>
      <c r="B40" s="281" t="s">
        <v>216</v>
      </c>
      <c r="C40" s="48">
        <f t="shared" si="1"/>
        <v>4120.42</v>
      </c>
      <c r="D40" s="278">
        <v>6.0000000000000001E-3</v>
      </c>
      <c r="E40" s="84">
        <f t="shared" si="0"/>
        <v>24.72</v>
      </c>
    </row>
    <row r="41" spans="1:5" s="34" customFormat="1" x14ac:dyDescent="0.25">
      <c r="A41" s="383" t="s">
        <v>31</v>
      </c>
      <c r="B41" s="384"/>
      <c r="C41" s="385"/>
      <c r="D41" s="77">
        <f>SUM(D33:D40)</f>
        <v>0.36799999999999999</v>
      </c>
      <c r="E41" s="85">
        <f>SUM(E33:E40)</f>
        <v>1516.3</v>
      </c>
    </row>
    <row r="42" spans="1:5" s="34" customFormat="1" x14ac:dyDescent="0.25">
      <c r="A42" s="380" t="s">
        <v>189</v>
      </c>
      <c r="B42" s="381"/>
      <c r="C42" s="381"/>
      <c r="D42" s="381"/>
      <c r="E42" s="382"/>
    </row>
    <row r="43" spans="1:5" s="34" customFormat="1" x14ac:dyDescent="0.25">
      <c r="A43" s="282" t="s">
        <v>207</v>
      </c>
      <c r="B43" s="283" t="s">
        <v>218</v>
      </c>
      <c r="C43" s="82" t="s">
        <v>204</v>
      </c>
      <c r="D43" s="83"/>
      <c r="E43" s="91" t="s">
        <v>10</v>
      </c>
    </row>
    <row r="44" spans="1:5" s="34" customFormat="1" x14ac:dyDescent="0.25">
      <c r="A44" s="284" t="s">
        <v>0</v>
      </c>
      <c r="B44" s="64" t="s">
        <v>152</v>
      </c>
      <c r="C44" s="93"/>
      <c r="D44" s="64"/>
      <c r="E44" s="94"/>
    </row>
    <row r="45" spans="1:5" s="34" customFormat="1" x14ac:dyDescent="0.25">
      <c r="A45" s="285" t="s">
        <v>2</v>
      </c>
      <c r="B45" s="274" t="s">
        <v>219</v>
      </c>
      <c r="C45" s="270" t="s">
        <v>392</v>
      </c>
      <c r="D45" s="65"/>
      <c r="E45" s="88">
        <f>581.85-(581.85*0.99%)</f>
        <v>576.09</v>
      </c>
    </row>
    <row r="46" spans="1:5" s="34" customFormat="1" x14ac:dyDescent="0.25">
      <c r="A46" s="59" t="s">
        <v>3</v>
      </c>
      <c r="B46" s="60" t="s">
        <v>130</v>
      </c>
      <c r="C46" s="49"/>
      <c r="D46" s="66"/>
      <c r="E46" s="95">
        <v>0</v>
      </c>
    </row>
    <row r="47" spans="1:5" s="34" customFormat="1" ht="30" x14ac:dyDescent="0.25">
      <c r="A47" s="59" t="s">
        <v>5</v>
      </c>
      <c r="B47" s="60" t="s">
        <v>131</v>
      </c>
      <c r="C47" s="49" t="s">
        <v>393</v>
      </c>
      <c r="D47" s="66"/>
      <c r="E47" s="95">
        <f>1618.08*50%*0.0199*2/12</f>
        <v>2.68</v>
      </c>
    </row>
    <row r="48" spans="1:5" s="34" customFormat="1" x14ac:dyDescent="0.25">
      <c r="A48" s="59" t="s">
        <v>22</v>
      </c>
      <c r="B48" s="60" t="s">
        <v>132</v>
      </c>
      <c r="C48" s="269"/>
      <c r="D48" s="66"/>
      <c r="E48" s="84">
        <v>45.8</v>
      </c>
    </row>
    <row r="49" spans="1:5" s="34" customFormat="1" ht="15.75" customHeight="1" x14ac:dyDescent="0.25">
      <c r="A49" s="383" t="s">
        <v>26</v>
      </c>
      <c r="B49" s="384"/>
      <c r="C49" s="384"/>
      <c r="D49" s="385"/>
      <c r="E49" s="85">
        <f>SUM(E44:E48)</f>
        <v>624.57000000000005</v>
      </c>
    </row>
    <row r="50" spans="1:5" s="34" customFormat="1" ht="15.75" customHeight="1" x14ac:dyDescent="0.25">
      <c r="A50" s="380" t="s">
        <v>157</v>
      </c>
      <c r="B50" s="381"/>
      <c r="C50" s="381"/>
      <c r="D50" s="381"/>
      <c r="E50" s="382"/>
    </row>
    <row r="51" spans="1:5" s="34" customFormat="1" ht="15.75" customHeight="1" x14ac:dyDescent="0.25">
      <c r="A51" s="56" t="s">
        <v>142</v>
      </c>
      <c r="B51" s="286" t="s">
        <v>153</v>
      </c>
      <c r="C51" s="68"/>
      <c r="D51" s="68"/>
      <c r="E51" s="96">
        <f>E30</f>
        <v>670.64</v>
      </c>
    </row>
    <row r="52" spans="1:5" s="34" customFormat="1" ht="15.75" customHeight="1" x14ac:dyDescent="0.25">
      <c r="A52" s="56" t="s">
        <v>143</v>
      </c>
      <c r="B52" s="286" t="s">
        <v>154</v>
      </c>
      <c r="C52" s="68"/>
      <c r="D52" s="68"/>
      <c r="E52" s="96">
        <f>E41</f>
        <v>1516.3</v>
      </c>
    </row>
    <row r="53" spans="1:5" s="34" customFormat="1" ht="15.75" customHeight="1" x14ac:dyDescent="0.25">
      <c r="A53" s="56" t="s">
        <v>207</v>
      </c>
      <c r="B53" s="286" t="s">
        <v>155</v>
      </c>
      <c r="C53" s="68"/>
      <c r="D53" s="68"/>
      <c r="E53" s="96">
        <f>E49</f>
        <v>624.57000000000005</v>
      </c>
    </row>
    <row r="54" spans="1:5" s="34" customFormat="1" ht="15.75" customHeight="1" x14ac:dyDescent="0.25">
      <c r="A54" s="371" t="s">
        <v>159</v>
      </c>
      <c r="B54" s="372"/>
      <c r="C54" s="372"/>
      <c r="D54" s="373"/>
      <c r="E54" s="90">
        <f>SUM(E51:E53)</f>
        <v>2811.51</v>
      </c>
    </row>
    <row r="55" spans="1:5" s="34" customFormat="1" ht="15.75" customHeight="1" x14ac:dyDescent="0.25">
      <c r="A55" s="374" t="s">
        <v>168</v>
      </c>
      <c r="B55" s="375"/>
      <c r="C55" s="375"/>
      <c r="D55" s="375"/>
      <c r="E55" s="376"/>
    </row>
    <row r="56" spans="1:5" s="34" customFormat="1" ht="30" customHeight="1" x14ac:dyDescent="0.25">
      <c r="A56" s="271" t="s">
        <v>220</v>
      </c>
      <c r="B56" s="287" t="s">
        <v>34</v>
      </c>
      <c r="C56" s="201" t="s">
        <v>204</v>
      </c>
      <c r="D56" s="76"/>
      <c r="E56" s="92" t="s">
        <v>10</v>
      </c>
    </row>
    <row r="57" spans="1:5" s="34" customFormat="1" ht="15.75" customHeight="1" x14ac:dyDescent="0.25">
      <c r="A57" s="59" t="s">
        <v>0</v>
      </c>
      <c r="B57" s="60" t="s">
        <v>35</v>
      </c>
      <c r="C57" s="121">
        <f>E$25</f>
        <v>3449.78</v>
      </c>
      <c r="D57" s="63">
        <v>4.5999999999999999E-3</v>
      </c>
      <c r="E57" s="84">
        <f>C57*D57</f>
        <v>15.87</v>
      </c>
    </row>
    <row r="58" spans="1:5" s="34" customFormat="1" ht="15.75" customHeight="1" x14ac:dyDescent="0.25">
      <c r="A58" s="59" t="s">
        <v>2</v>
      </c>
      <c r="B58" s="60" t="s">
        <v>36</v>
      </c>
      <c r="C58" s="121">
        <f t="shared" ref="C58:C61" si="2">E$25</f>
        <v>3449.78</v>
      </c>
      <c r="D58" s="63">
        <v>4.0000000000000002E-4</v>
      </c>
      <c r="E58" s="84">
        <f>C58*D58</f>
        <v>1.38</v>
      </c>
    </row>
    <row r="59" spans="1:5" s="34" customFormat="1" ht="15.75" customHeight="1" x14ac:dyDescent="0.25">
      <c r="A59" s="59" t="s">
        <v>3</v>
      </c>
      <c r="B59" s="60" t="s">
        <v>37</v>
      </c>
      <c r="C59" s="121">
        <f t="shared" si="2"/>
        <v>3449.78</v>
      </c>
      <c r="D59" s="63">
        <v>1.9400000000000001E-2</v>
      </c>
      <c r="E59" s="84">
        <f>C59*D59</f>
        <v>66.930000000000007</v>
      </c>
    </row>
    <row r="60" spans="1:5" s="34" customFormat="1" ht="15.75" customHeight="1" x14ac:dyDescent="0.25">
      <c r="A60" s="59" t="s">
        <v>5</v>
      </c>
      <c r="B60" s="100" t="s">
        <v>221</v>
      </c>
      <c r="C60" s="121">
        <f t="shared" si="2"/>
        <v>3449.78</v>
      </c>
      <c r="D60" s="63">
        <v>7.1000000000000004E-3</v>
      </c>
      <c r="E60" s="84">
        <f>C60*D60</f>
        <v>24.49</v>
      </c>
    </row>
    <row r="61" spans="1:5" s="34" customFormat="1" ht="32.25" customHeight="1" x14ac:dyDescent="0.25">
      <c r="A61" s="59" t="s">
        <v>22</v>
      </c>
      <c r="B61" s="60" t="s">
        <v>193</v>
      </c>
      <c r="C61" s="121">
        <f t="shared" si="2"/>
        <v>3449.78</v>
      </c>
      <c r="D61" s="63">
        <v>0.04</v>
      </c>
      <c r="E61" s="84">
        <f>C61*D61</f>
        <v>137.99</v>
      </c>
    </row>
    <row r="62" spans="1:5" s="34" customFormat="1" x14ac:dyDescent="0.25">
      <c r="A62" s="377" t="s">
        <v>160</v>
      </c>
      <c r="B62" s="378"/>
      <c r="C62" s="378"/>
      <c r="D62" s="122">
        <f>SUM(D57:D61)</f>
        <v>7.1499999999999994E-2</v>
      </c>
      <c r="E62" s="114">
        <f>SUM(E57:E61)</f>
        <v>246.66</v>
      </c>
    </row>
    <row r="63" spans="1:5" s="34" customFormat="1" ht="15.75" customHeight="1" x14ac:dyDescent="0.25">
      <c r="A63" s="374" t="s">
        <v>169</v>
      </c>
      <c r="B63" s="375"/>
      <c r="C63" s="375"/>
      <c r="D63" s="375"/>
      <c r="E63" s="376"/>
    </row>
    <row r="64" spans="1:5" s="34" customFormat="1" ht="30" customHeight="1" x14ac:dyDescent="0.25">
      <c r="A64" s="271" t="s">
        <v>28</v>
      </c>
      <c r="B64" s="69" t="s">
        <v>222</v>
      </c>
      <c r="C64" s="201" t="s">
        <v>204</v>
      </c>
      <c r="D64" s="97"/>
      <c r="E64" s="92" t="s">
        <v>10</v>
      </c>
    </row>
    <row r="65" spans="1:5" s="34" customFormat="1" x14ac:dyDescent="0.25">
      <c r="A65" s="59" t="s">
        <v>0</v>
      </c>
      <c r="B65" s="276" t="s">
        <v>194</v>
      </c>
      <c r="C65" s="50">
        <f>E$25+E$54+E$62+E84</f>
        <v>6578.25</v>
      </c>
      <c r="D65" s="63">
        <f>D29/12</f>
        <v>9.2999999999999992E-3</v>
      </c>
      <c r="E65" s="84">
        <f t="shared" ref="E65:E70" si="3">(C65)*D65</f>
        <v>61.18</v>
      </c>
    </row>
    <row r="66" spans="1:5" s="34" customFormat="1" x14ac:dyDescent="0.25">
      <c r="A66" s="59" t="s">
        <v>2</v>
      </c>
      <c r="B66" s="276" t="s">
        <v>195</v>
      </c>
      <c r="C66" s="50">
        <f>E$25+E$54+E$62+E84</f>
        <v>6578.25</v>
      </c>
      <c r="D66" s="63">
        <v>1.66E-2</v>
      </c>
      <c r="E66" s="84">
        <f t="shared" si="3"/>
        <v>109.2</v>
      </c>
    </row>
    <row r="67" spans="1:5" s="34" customFormat="1" x14ac:dyDescent="0.25">
      <c r="A67" s="59" t="s">
        <v>3</v>
      </c>
      <c r="B67" s="276" t="s">
        <v>196</v>
      </c>
      <c r="C67" s="50">
        <f>E$25+E$54+E$62+E84</f>
        <v>6578.25</v>
      </c>
      <c r="D67" s="63">
        <v>2.0000000000000001E-4</v>
      </c>
      <c r="E67" s="84">
        <f t="shared" si="3"/>
        <v>1.32</v>
      </c>
    </row>
    <row r="68" spans="1:5" s="34" customFormat="1" x14ac:dyDescent="0.25">
      <c r="A68" s="59" t="s">
        <v>5</v>
      </c>
      <c r="B68" s="276" t="s">
        <v>197</v>
      </c>
      <c r="C68" s="50">
        <f>E$25+E$54+E$62+E84</f>
        <v>6578.25</v>
      </c>
      <c r="D68" s="63">
        <v>2.7000000000000001E-3</v>
      </c>
      <c r="E68" s="84">
        <f t="shared" si="3"/>
        <v>17.760000000000002</v>
      </c>
    </row>
    <row r="69" spans="1:5" s="34" customFormat="1" x14ac:dyDescent="0.25">
      <c r="A69" s="59" t="s">
        <v>22</v>
      </c>
      <c r="B69" s="276" t="s">
        <v>198</v>
      </c>
      <c r="C69" s="50">
        <f>E$25+E$54+E$62+E84</f>
        <v>6578.25</v>
      </c>
      <c r="D69" s="63">
        <v>2.9999999999999997E-4</v>
      </c>
      <c r="E69" s="84">
        <f t="shared" si="3"/>
        <v>1.97</v>
      </c>
    </row>
    <row r="70" spans="1:5" s="34" customFormat="1" x14ac:dyDescent="0.25">
      <c r="A70" s="59" t="s">
        <v>24</v>
      </c>
      <c r="B70" s="276" t="s">
        <v>199</v>
      </c>
      <c r="C70" s="50">
        <f>E$25+E$54+E$62+E84</f>
        <v>6578.25</v>
      </c>
      <c r="D70" s="63">
        <v>0</v>
      </c>
      <c r="E70" s="84">
        <f t="shared" si="3"/>
        <v>0</v>
      </c>
    </row>
    <row r="71" spans="1:5" s="34" customFormat="1" ht="15.75" customHeight="1" x14ac:dyDescent="0.25">
      <c r="A71" s="383" t="s">
        <v>200</v>
      </c>
      <c r="B71" s="384"/>
      <c r="C71" s="385"/>
      <c r="D71" s="98">
        <f>SUM(D65:D70)</f>
        <v>2.9100000000000001E-2</v>
      </c>
      <c r="E71" s="85">
        <f>SUM(E65:E70)</f>
        <v>191.43</v>
      </c>
    </row>
    <row r="72" spans="1:5" s="34" customFormat="1" ht="15.75" customHeight="1" x14ac:dyDescent="0.25">
      <c r="A72" s="380" t="s">
        <v>201</v>
      </c>
      <c r="B72" s="381"/>
      <c r="C72" s="381"/>
      <c r="D72" s="381"/>
      <c r="E72" s="382"/>
    </row>
    <row r="73" spans="1:5" s="34" customFormat="1" x14ac:dyDescent="0.25">
      <c r="A73" s="271"/>
      <c r="B73" s="58" t="s">
        <v>201</v>
      </c>
      <c r="C73" s="100"/>
      <c r="D73" s="100"/>
      <c r="E73" s="92" t="s">
        <v>10</v>
      </c>
    </row>
    <row r="74" spans="1:5" s="34" customFormat="1" ht="15.75" customHeight="1" x14ac:dyDescent="0.25">
      <c r="A74" s="59" t="s">
        <v>0</v>
      </c>
      <c r="B74" s="71" t="s">
        <v>202</v>
      </c>
      <c r="C74" s="49"/>
      <c r="D74" s="63">
        <v>0</v>
      </c>
      <c r="E74" s="84">
        <f>(E$25+E$54+E$62)*D74</f>
        <v>0</v>
      </c>
    </row>
    <row r="75" spans="1:5" s="34" customFormat="1" ht="15.75" customHeight="1" x14ac:dyDescent="0.25">
      <c r="A75" s="383" t="s">
        <v>203</v>
      </c>
      <c r="B75" s="384"/>
      <c r="C75" s="385"/>
      <c r="D75" s="86">
        <f>SUM(D74:D74)</f>
        <v>0</v>
      </c>
      <c r="E75" s="85">
        <f>SUM(E74:E74)</f>
        <v>0</v>
      </c>
    </row>
    <row r="76" spans="1:5" s="34" customFormat="1" ht="15.75" customHeight="1" x14ac:dyDescent="0.25">
      <c r="A76" s="449" t="s">
        <v>223</v>
      </c>
      <c r="B76" s="450"/>
      <c r="C76" s="450"/>
      <c r="D76" s="450"/>
      <c r="E76" s="451"/>
    </row>
    <row r="77" spans="1:5" s="34" customFormat="1" ht="15.75" customHeight="1" x14ac:dyDescent="0.25">
      <c r="A77" s="271">
        <v>4</v>
      </c>
      <c r="B77" s="110" t="s">
        <v>224</v>
      </c>
      <c r="C77" s="111"/>
      <c r="D77" s="112"/>
      <c r="E77" s="92" t="s">
        <v>10</v>
      </c>
    </row>
    <row r="78" spans="1:5" s="34" customFormat="1" ht="15.75" customHeight="1" x14ac:dyDescent="0.25">
      <c r="A78" s="59" t="s">
        <v>28</v>
      </c>
      <c r="B78" s="60" t="s">
        <v>222</v>
      </c>
      <c r="C78" s="111"/>
      <c r="D78" s="63">
        <f>D71</f>
        <v>2.9100000000000001E-2</v>
      </c>
      <c r="E78" s="84">
        <f>E71</f>
        <v>191.43</v>
      </c>
    </row>
    <row r="79" spans="1:5" s="34" customFormat="1" ht="15.75" customHeight="1" x14ac:dyDescent="0.25">
      <c r="A79" s="59" t="s">
        <v>32</v>
      </c>
      <c r="B79" s="60" t="s">
        <v>201</v>
      </c>
      <c r="C79" s="111"/>
      <c r="D79" s="63">
        <v>0</v>
      </c>
      <c r="E79" s="84">
        <f>(D$25+D$53+D$61)*D79</f>
        <v>0</v>
      </c>
    </row>
    <row r="80" spans="1:5" s="34" customFormat="1" ht="15.75" customHeight="1" x14ac:dyDescent="0.25">
      <c r="A80" s="383" t="s">
        <v>31</v>
      </c>
      <c r="B80" s="384"/>
      <c r="C80" s="385"/>
      <c r="D80" s="86">
        <f>SUM(D78:D79)</f>
        <v>2.9100000000000001E-2</v>
      </c>
      <c r="E80" s="85">
        <f>SUM(E78:E79)</f>
        <v>191.43</v>
      </c>
    </row>
    <row r="81" spans="1:5" s="34" customFormat="1" ht="15.75" customHeight="1" x14ac:dyDescent="0.25">
      <c r="A81" s="371" t="s">
        <v>161</v>
      </c>
      <c r="B81" s="372"/>
      <c r="C81" s="372"/>
      <c r="D81" s="373"/>
      <c r="E81" s="99">
        <f>SUM(E71+E75)</f>
        <v>191.43</v>
      </c>
    </row>
    <row r="82" spans="1:5" s="34" customFormat="1" ht="15.75" customHeight="1" x14ac:dyDescent="0.25">
      <c r="A82" s="374" t="s">
        <v>170</v>
      </c>
      <c r="B82" s="375"/>
      <c r="C82" s="375"/>
      <c r="D82" s="375"/>
      <c r="E82" s="376"/>
    </row>
    <row r="83" spans="1:5" s="34" customFormat="1" ht="15.75" customHeight="1" x14ac:dyDescent="0.25">
      <c r="A83" s="271">
        <v>5</v>
      </c>
      <c r="B83" s="287" t="s">
        <v>27</v>
      </c>
      <c r="C83" s="100"/>
      <c r="D83" s="100"/>
      <c r="E83" s="92" t="s">
        <v>10</v>
      </c>
    </row>
    <row r="84" spans="1:5" s="34" customFormat="1" ht="15.75" customHeight="1" x14ac:dyDescent="0.25">
      <c r="A84" s="285" t="s">
        <v>0</v>
      </c>
      <c r="B84" s="274" t="s">
        <v>225</v>
      </c>
      <c r="C84" s="70"/>
      <c r="D84" s="67"/>
      <c r="E84" s="84">
        <f>'EPI''s e Uniformes'!I26</f>
        <v>70.3</v>
      </c>
    </row>
    <row r="85" spans="1:5" s="34" customFormat="1" ht="15.75" customHeight="1" x14ac:dyDescent="0.25">
      <c r="A85" s="285" t="s">
        <v>2</v>
      </c>
      <c r="B85" s="274" t="s">
        <v>226</v>
      </c>
      <c r="C85" s="70"/>
      <c r="D85" s="67"/>
      <c r="E85" s="84">
        <v>0</v>
      </c>
    </row>
    <row r="86" spans="1:5" s="34" customFormat="1" ht="15.75" customHeight="1" x14ac:dyDescent="0.25">
      <c r="A86" s="285" t="s">
        <v>3</v>
      </c>
      <c r="B86" s="274" t="s">
        <v>208</v>
      </c>
      <c r="C86" s="70"/>
      <c r="D86" s="67"/>
      <c r="E86" s="84">
        <v>0</v>
      </c>
    </row>
    <row r="87" spans="1:5" s="34" customFormat="1" ht="15.75" customHeight="1" x14ac:dyDescent="0.25">
      <c r="A87" s="285" t="s">
        <v>5</v>
      </c>
      <c r="B87" s="274" t="s">
        <v>133</v>
      </c>
      <c r="C87" s="70"/>
      <c r="D87" s="67"/>
      <c r="E87" s="84">
        <v>0</v>
      </c>
    </row>
    <row r="88" spans="1:5" s="34" customFormat="1" ht="15.75" customHeight="1" x14ac:dyDescent="0.25">
      <c r="A88" s="377" t="s">
        <v>162</v>
      </c>
      <c r="B88" s="378"/>
      <c r="C88" s="378"/>
      <c r="D88" s="379"/>
      <c r="E88" s="90">
        <f>SUM(E84:E87)</f>
        <v>70.3</v>
      </c>
    </row>
    <row r="89" spans="1:5" s="34" customFormat="1" ht="23.25" customHeight="1" x14ac:dyDescent="0.25">
      <c r="A89" s="368" t="s">
        <v>227</v>
      </c>
      <c r="B89" s="369"/>
      <c r="C89" s="369"/>
      <c r="D89" s="370"/>
      <c r="E89" s="109">
        <f>E88+E81+E62+E54+E25</f>
        <v>6769.68</v>
      </c>
    </row>
    <row r="90" spans="1:5" s="34" customFormat="1" ht="19.5" customHeight="1" x14ac:dyDescent="0.25">
      <c r="A90" s="374" t="s">
        <v>171</v>
      </c>
      <c r="B90" s="375"/>
      <c r="C90" s="375"/>
      <c r="D90" s="375"/>
      <c r="E90" s="376"/>
    </row>
    <row r="91" spans="1:5" s="34" customFormat="1" x14ac:dyDescent="0.25">
      <c r="A91" s="271">
        <v>6</v>
      </c>
      <c r="B91" s="287" t="s">
        <v>38</v>
      </c>
      <c r="C91" s="47" t="s">
        <v>204</v>
      </c>
      <c r="D91" s="47"/>
      <c r="E91" s="92" t="s">
        <v>10</v>
      </c>
    </row>
    <row r="92" spans="1:5" s="34" customFormat="1" x14ac:dyDescent="0.25">
      <c r="A92" s="271" t="s">
        <v>0</v>
      </c>
      <c r="B92" s="60" t="s">
        <v>39</v>
      </c>
      <c r="C92" s="102">
        <f>E89</f>
        <v>6769.68</v>
      </c>
      <c r="D92" s="63">
        <v>0.05</v>
      </c>
      <c r="E92" s="84">
        <f>C92*D92</f>
        <v>338.48</v>
      </c>
    </row>
    <row r="93" spans="1:5" s="34" customFormat="1" x14ac:dyDescent="0.25">
      <c r="A93" s="271" t="s">
        <v>2</v>
      </c>
      <c r="B93" s="60" t="s">
        <v>40</v>
      </c>
      <c r="C93" s="102">
        <f>E89+E92</f>
        <v>7108.16</v>
      </c>
      <c r="D93" s="63">
        <v>0.1</v>
      </c>
      <c r="E93" s="84">
        <f>D93*C93</f>
        <v>710.82</v>
      </c>
    </row>
    <row r="94" spans="1:5" s="34" customFormat="1" ht="30.75" customHeight="1" x14ac:dyDescent="0.25">
      <c r="A94" s="393" t="s">
        <v>3</v>
      </c>
      <c r="B94" s="71" t="s">
        <v>228</v>
      </c>
      <c r="C94" s="60"/>
      <c r="D94" s="63">
        <f>1-D102</f>
        <v>0.85750000000000004</v>
      </c>
      <c r="E94" s="84">
        <f>+E89+E92+E93</f>
        <v>7818.98</v>
      </c>
    </row>
    <row r="95" spans="1:5" s="34" customFormat="1" x14ac:dyDescent="0.25">
      <c r="A95" s="393"/>
      <c r="B95" s="272" t="s">
        <v>41</v>
      </c>
      <c r="C95" s="62"/>
      <c r="D95" s="269"/>
      <c r="E95" s="117">
        <f>+E94/D94</f>
        <v>9118.34</v>
      </c>
    </row>
    <row r="96" spans="1:5" s="34" customFormat="1" x14ac:dyDescent="0.25">
      <c r="A96" s="393"/>
      <c r="B96" s="272" t="s">
        <v>42</v>
      </c>
      <c r="C96" s="101"/>
      <c r="D96" s="103"/>
      <c r="E96" s="84"/>
    </row>
    <row r="97" spans="1:5" s="34" customFormat="1" x14ac:dyDescent="0.25">
      <c r="A97" s="393"/>
      <c r="B97" s="71" t="s">
        <v>395</v>
      </c>
      <c r="C97" s="78">
        <f>E95</f>
        <v>9118.34</v>
      </c>
      <c r="D97" s="63">
        <v>1.6500000000000001E-2</v>
      </c>
      <c r="E97" s="84">
        <f>C97*D97</f>
        <v>150.44999999999999</v>
      </c>
    </row>
    <row r="98" spans="1:5" s="34" customFormat="1" x14ac:dyDescent="0.25">
      <c r="A98" s="393"/>
      <c r="B98" s="71" t="s">
        <v>396</v>
      </c>
      <c r="C98" s="78">
        <f>E95</f>
        <v>9118.34</v>
      </c>
      <c r="D98" s="63">
        <v>7.5999999999999998E-2</v>
      </c>
      <c r="E98" s="84">
        <f>C98*D98</f>
        <v>692.99</v>
      </c>
    </row>
    <row r="99" spans="1:5" s="34" customFormat="1" x14ac:dyDescent="0.25">
      <c r="A99" s="393"/>
      <c r="B99" s="289" t="s">
        <v>43</v>
      </c>
      <c r="C99" s="79"/>
      <c r="D99" s="269"/>
      <c r="E99" s="84"/>
    </row>
    <row r="100" spans="1:5" s="34" customFormat="1" x14ac:dyDescent="0.25">
      <c r="A100" s="393"/>
      <c r="B100" s="289" t="s">
        <v>44</v>
      </c>
      <c r="C100" s="79"/>
      <c r="D100" s="79"/>
      <c r="E100" s="84"/>
    </row>
    <row r="101" spans="1:5" s="34" customFormat="1" ht="16.5" thickBot="1" x14ac:dyDescent="0.3">
      <c r="A101" s="394"/>
      <c r="B101" s="290" t="s">
        <v>397</v>
      </c>
      <c r="C101" s="80">
        <f>E95</f>
        <v>9118.34</v>
      </c>
      <c r="D101" s="104">
        <v>0.05</v>
      </c>
      <c r="E101" s="118">
        <f>C101*D101</f>
        <v>455.92</v>
      </c>
    </row>
    <row r="102" spans="1:5" s="34" customFormat="1" ht="16.5" thickBot="1" x14ac:dyDescent="0.3">
      <c r="A102" s="72"/>
      <c r="B102" s="366" t="s">
        <v>45</v>
      </c>
      <c r="C102" s="367"/>
      <c r="D102" s="116">
        <f>SUM(D97:D101)</f>
        <v>0.14249999999999999</v>
      </c>
      <c r="E102" s="115">
        <f>SUM(E97:E101)</f>
        <v>1299.3599999999999</v>
      </c>
    </row>
    <row r="103" spans="1:5" s="34" customFormat="1" ht="15.75" customHeight="1" x14ac:dyDescent="0.25">
      <c r="A103" s="395" t="s">
        <v>46</v>
      </c>
      <c r="B103" s="396"/>
      <c r="C103" s="396"/>
      <c r="D103" s="397"/>
      <c r="E103" s="105">
        <f>+E92+E93+E102</f>
        <v>2348.66</v>
      </c>
    </row>
    <row r="104" spans="1:5" s="34" customFormat="1" ht="15.75" customHeight="1" x14ac:dyDescent="0.25">
      <c r="A104" s="398" t="s">
        <v>47</v>
      </c>
      <c r="B104" s="399"/>
      <c r="C104" s="399"/>
      <c r="D104" s="400"/>
      <c r="E104" s="106" t="s">
        <v>10</v>
      </c>
    </row>
    <row r="105" spans="1:5" s="34" customFormat="1" x14ac:dyDescent="0.25">
      <c r="A105" s="59" t="s">
        <v>0</v>
      </c>
      <c r="B105" s="401" t="s">
        <v>48</v>
      </c>
      <c r="C105" s="402"/>
      <c r="D105" s="403"/>
      <c r="E105" s="84">
        <f>+E25</f>
        <v>3449.78</v>
      </c>
    </row>
    <row r="106" spans="1:5" s="34" customFormat="1" x14ac:dyDescent="0.25">
      <c r="A106" s="59" t="s">
        <v>2</v>
      </c>
      <c r="B106" s="401" t="s">
        <v>165</v>
      </c>
      <c r="C106" s="402"/>
      <c r="D106" s="403"/>
      <c r="E106" s="84">
        <f>+E54</f>
        <v>2811.51</v>
      </c>
    </row>
    <row r="107" spans="1:5" s="34" customFormat="1" x14ac:dyDescent="0.25">
      <c r="A107" s="59" t="s">
        <v>3</v>
      </c>
      <c r="B107" s="401" t="s">
        <v>163</v>
      </c>
      <c r="C107" s="402"/>
      <c r="D107" s="403"/>
      <c r="E107" s="84">
        <f>E62</f>
        <v>246.66</v>
      </c>
    </row>
    <row r="108" spans="1:5" s="34" customFormat="1" x14ac:dyDescent="0.25">
      <c r="A108" s="59" t="s">
        <v>5</v>
      </c>
      <c r="B108" s="401" t="s">
        <v>156</v>
      </c>
      <c r="C108" s="402"/>
      <c r="D108" s="403"/>
      <c r="E108" s="84">
        <f>E81</f>
        <v>191.43</v>
      </c>
    </row>
    <row r="109" spans="1:5" s="34" customFormat="1" x14ac:dyDescent="0.25">
      <c r="A109" s="59" t="s">
        <v>22</v>
      </c>
      <c r="B109" s="401" t="s">
        <v>164</v>
      </c>
      <c r="C109" s="402"/>
      <c r="D109" s="403"/>
      <c r="E109" s="84">
        <f>E88</f>
        <v>70.3</v>
      </c>
    </row>
    <row r="110" spans="1:5" s="34" customFormat="1" ht="15.75" customHeight="1" x14ac:dyDescent="0.25">
      <c r="A110" s="404" t="s">
        <v>166</v>
      </c>
      <c r="B110" s="405"/>
      <c r="C110" s="405"/>
      <c r="D110" s="406"/>
      <c r="E110" s="107">
        <f>SUM(E105:E109)</f>
        <v>6769.68</v>
      </c>
    </row>
    <row r="111" spans="1:5" s="34" customFormat="1" x14ac:dyDescent="0.25">
      <c r="A111" s="271" t="s">
        <v>24</v>
      </c>
      <c r="B111" s="401" t="s">
        <v>167</v>
      </c>
      <c r="C111" s="402"/>
      <c r="D111" s="403"/>
      <c r="E111" s="84">
        <f>+E103</f>
        <v>2348.66</v>
      </c>
    </row>
    <row r="112" spans="1:5" s="34" customFormat="1" ht="16.5" customHeight="1" thickBot="1" x14ac:dyDescent="0.3">
      <c r="A112" s="407" t="s">
        <v>49</v>
      </c>
      <c r="B112" s="408"/>
      <c r="C112" s="408"/>
      <c r="D112" s="409"/>
      <c r="E112" s="108">
        <f>+E110+E111</f>
        <v>9118.34</v>
      </c>
    </row>
    <row r="113" spans="2:5" x14ac:dyDescent="0.25">
      <c r="D113" s="35"/>
      <c r="E113" s="37"/>
    </row>
    <row r="114" spans="2:5" x14ac:dyDescent="0.25">
      <c r="B114" s="32"/>
      <c r="C114" s="32"/>
      <c r="D114" s="35"/>
      <c r="E114" s="38"/>
    </row>
    <row r="115" spans="2:5" x14ac:dyDescent="0.25">
      <c r="B115" s="32"/>
      <c r="C115" s="32"/>
      <c r="D115" s="35"/>
      <c r="E115" s="38" t="s">
        <v>128</v>
      </c>
    </row>
    <row r="116" spans="2:5" x14ac:dyDescent="0.25">
      <c r="B116" s="32"/>
      <c r="C116" s="392"/>
      <c r="D116" s="392"/>
      <c r="E116" s="392"/>
    </row>
    <row r="117" spans="2:5" x14ac:dyDescent="0.25">
      <c r="B117" s="32"/>
      <c r="C117" s="32"/>
      <c r="D117" s="35"/>
      <c r="E117" s="39"/>
    </row>
    <row r="119" spans="2:5" x14ac:dyDescent="0.25">
      <c r="B119" s="40"/>
    </row>
    <row r="124" spans="2:5" x14ac:dyDescent="0.25">
      <c r="B124" s="32"/>
      <c r="C124" s="32"/>
    </row>
  </sheetData>
  <mergeCells count="59">
    <mergeCell ref="A11:D11"/>
    <mergeCell ref="A1:E1"/>
    <mergeCell ref="A2:E2"/>
    <mergeCell ref="A3:E3"/>
    <mergeCell ref="C4:E4"/>
    <mergeCell ref="C5:E5"/>
    <mergeCell ref="C6:E6"/>
    <mergeCell ref="C7:E7"/>
    <mergeCell ref="A8:E8"/>
    <mergeCell ref="A9:E9"/>
    <mergeCell ref="A10:E10"/>
    <mergeCell ref="C24:D24"/>
    <mergeCell ref="C12:E12"/>
    <mergeCell ref="C14:E14"/>
    <mergeCell ref="C15:E15"/>
    <mergeCell ref="A16:E16"/>
    <mergeCell ref="B17:D17"/>
    <mergeCell ref="C18:D18"/>
    <mergeCell ref="C19:D19"/>
    <mergeCell ref="C20:D20"/>
    <mergeCell ref="C21:D21"/>
    <mergeCell ref="C22:D22"/>
    <mergeCell ref="C23:D23"/>
    <mergeCell ref="C13:E13"/>
    <mergeCell ref="A63:E63"/>
    <mergeCell ref="A25:D25"/>
    <mergeCell ref="A26:E26"/>
    <mergeCell ref="A30:C30"/>
    <mergeCell ref="A31:E31"/>
    <mergeCell ref="A41:C41"/>
    <mergeCell ref="A42:E42"/>
    <mergeCell ref="A49:D49"/>
    <mergeCell ref="A50:E50"/>
    <mergeCell ref="A54:D54"/>
    <mergeCell ref="A55:E55"/>
    <mergeCell ref="A62:C62"/>
    <mergeCell ref="A103:D103"/>
    <mergeCell ref="A71:C71"/>
    <mergeCell ref="A72:E72"/>
    <mergeCell ref="A75:C75"/>
    <mergeCell ref="A76:E76"/>
    <mergeCell ref="A80:C80"/>
    <mergeCell ref="A81:D81"/>
    <mergeCell ref="A82:E82"/>
    <mergeCell ref="A88:D88"/>
    <mergeCell ref="A89:D89"/>
    <mergeCell ref="A90:E90"/>
    <mergeCell ref="A94:A101"/>
    <mergeCell ref="B102:C102"/>
    <mergeCell ref="A112:D112"/>
    <mergeCell ref="C116:E116"/>
    <mergeCell ref="A104:D104"/>
    <mergeCell ref="B105:D105"/>
    <mergeCell ref="B106:D106"/>
    <mergeCell ref="B107:D107"/>
    <mergeCell ref="A110:D110"/>
    <mergeCell ref="B111:D111"/>
    <mergeCell ref="B108:D108"/>
    <mergeCell ref="B109:D109"/>
  </mergeCells>
  <hyperlinks>
    <hyperlink ref="B40" r:id="rId1" display="08 - Sebrae 0,3% ou 0,6% - IN nº 03, MPS/SRP/2005, Anexo II e III ver código da Tabela"/>
  </hyperlinks>
  <pageMargins left="0.7" right="0.7" top="0.75" bottom="0.75" header="0.3" footer="0.3"/>
  <pageSetup paperSize="9" scale="38" orientation="portrait"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view="pageBreakPreview" zoomScaleNormal="90" zoomScaleSheetLayoutView="100" workbookViewId="0">
      <selection activeCell="A2" sqref="A2"/>
    </sheetView>
  </sheetViews>
  <sheetFormatPr defaultRowHeight="12.75" x14ac:dyDescent="0.25"/>
  <cols>
    <col min="1" max="1" width="8.7109375" style="158" customWidth="1"/>
    <col min="2" max="2" width="90.7109375" style="158" customWidth="1"/>
    <col min="3" max="10" width="15.7109375" style="158" customWidth="1"/>
    <col min="11" max="16384" width="9.140625" style="158"/>
  </cols>
  <sheetData>
    <row r="1" spans="1:9" ht="15" customHeight="1" x14ac:dyDescent="0.25">
      <c r="A1" s="459" t="s">
        <v>333</v>
      </c>
      <c r="B1" s="460"/>
      <c r="C1" s="460"/>
      <c r="D1" s="460"/>
      <c r="E1" s="460"/>
      <c r="F1" s="460"/>
      <c r="G1" s="460"/>
      <c r="H1" s="460"/>
      <c r="I1" s="461"/>
    </row>
    <row r="2" spans="1:9" ht="30" customHeight="1" x14ac:dyDescent="0.25">
      <c r="A2" s="165" t="s">
        <v>271</v>
      </c>
      <c r="B2" s="159" t="s">
        <v>272</v>
      </c>
      <c r="C2" s="159" t="s">
        <v>185</v>
      </c>
      <c r="D2" s="159" t="s">
        <v>186</v>
      </c>
      <c r="E2" s="159" t="s">
        <v>336</v>
      </c>
      <c r="F2" s="159" t="s">
        <v>187</v>
      </c>
      <c r="G2" s="205" t="s">
        <v>188</v>
      </c>
      <c r="H2" s="205" t="s">
        <v>205</v>
      </c>
      <c r="I2" s="166" t="s">
        <v>206</v>
      </c>
    </row>
    <row r="3" spans="1:9" ht="15" customHeight="1" x14ac:dyDescent="0.25">
      <c r="A3" s="178">
        <v>1</v>
      </c>
      <c r="B3" s="179" t="s">
        <v>273</v>
      </c>
      <c r="C3" s="175" t="s">
        <v>185</v>
      </c>
      <c r="D3" s="180">
        <v>10</v>
      </c>
      <c r="E3" s="180">
        <f>D3</f>
        <v>10</v>
      </c>
      <c r="F3" s="175" t="s">
        <v>192</v>
      </c>
      <c r="G3" s="181">
        <v>3.2</v>
      </c>
      <c r="H3" s="181">
        <f t="shared" ref="H3:H12" si="0">G3*E3</f>
        <v>32</v>
      </c>
      <c r="I3" s="182">
        <f t="shared" ref="I3:I12" si="1">H3/12</f>
        <v>2.67</v>
      </c>
    </row>
    <row r="4" spans="1:9" ht="15" customHeight="1" x14ac:dyDescent="0.25">
      <c r="A4" s="184">
        <v>2</v>
      </c>
      <c r="B4" s="179" t="s">
        <v>274</v>
      </c>
      <c r="C4" s="175" t="s">
        <v>185</v>
      </c>
      <c r="D4" s="183">
        <v>48</v>
      </c>
      <c r="E4" s="183">
        <f>D4*12</f>
        <v>576</v>
      </c>
      <c r="F4" s="175" t="s">
        <v>251</v>
      </c>
      <c r="G4" s="177">
        <v>2.0099999999999998</v>
      </c>
      <c r="H4" s="177">
        <f t="shared" si="0"/>
        <v>1157.76</v>
      </c>
      <c r="I4" s="185">
        <f t="shared" si="1"/>
        <v>96.48</v>
      </c>
    </row>
    <row r="5" spans="1:9" ht="15" customHeight="1" x14ac:dyDescent="0.25">
      <c r="A5" s="184">
        <v>3</v>
      </c>
      <c r="B5" s="179" t="s">
        <v>275</v>
      </c>
      <c r="C5" s="175" t="s">
        <v>185</v>
      </c>
      <c r="D5" s="183">
        <v>20</v>
      </c>
      <c r="E5" s="183">
        <f>D5*12</f>
        <v>240</v>
      </c>
      <c r="F5" s="175" t="s">
        <v>251</v>
      </c>
      <c r="G5" s="177">
        <v>2.0099999999999998</v>
      </c>
      <c r="H5" s="177">
        <f t="shared" si="0"/>
        <v>482.4</v>
      </c>
      <c r="I5" s="185">
        <f t="shared" si="1"/>
        <v>40.200000000000003</v>
      </c>
    </row>
    <row r="6" spans="1:9" ht="15" customHeight="1" x14ac:dyDescent="0.25">
      <c r="A6" s="184">
        <v>4</v>
      </c>
      <c r="B6" s="179" t="s">
        <v>276</v>
      </c>
      <c r="C6" s="175" t="s">
        <v>277</v>
      </c>
      <c r="D6" s="183">
        <v>10</v>
      </c>
      <c r="E6" s="183">
        <f>D6*12</f>
        <v>120</v>
      </c>
      <c r="F6" s="175" t="s">
        <v>251</v>
      </c>
      <c r="G6" s="181">
        <f>0.08*100</f>
        <v>8</v>
      </c>
      <c r="H6" s="177">
        <f t="shared" si="0"/>
        <v>960</v>
      </c>
      <c r="I6" s="185">
        <f t="shared" si="1"/>
        <v>80</v>
      </c>
    </row>
    <row r="7" spans="1:9" ht="15" customHeight="1" x14ac:dyDescent="0.25">
      <c r="A7" s="167">
        <v>5</v>
      </c>
      <c r="B7" s="161" t="s">
        <v>278</v>
      </c>
      <c r="C7" s="162" t="s">
        <v>185</v>
      </c>
      <c r="D7" s="163">
        <v>20</v>
      </c>
      <c r="E7" s="163">
        <f>D7*12</f>
        <v>240</v>
      </c>
      <c r="F7" s="162" t="s">
        <v>251</v>
      </c>
      <c r="G7" s="169">
        <v>0.9</v>
      </c>
      <c r="H7" s="169">
        <f t="shared" si="0"/>
        <v>216</v>
      </c>
      <c r="I7" s="170">
        <f t="shared" si="1"/>
        <v>18</v>
      </c>
    </row>
    <row r="8" spans="1:9" ht="15" customHeight="1" x14ac:dyDescent="0.25">
      <c r="A8" s="167">
        <v>6</v>
      </c>
      <c r="B8" s="161" t="s">
        <v>279</v>
      </c>
      <c r="C8" s="162" t="s">
        <v>185</v>
      </c>
      <c r="D8" s="192">
        <v>20</v>
      </c>
      <c r="E8" s="168">
        <f>D8*2</f>
        <v>40</v>
      </c>
      <c r="F8" s="162" t="s">
        <v>250</v>
      </c>
      <c r="G8" s="169">
        <v>8.8699999999999992</v>
      </c>
      <c r="H8" s="169">
        <f t="shared" si="0"/>
        <v>354.8</v>
      </c>
      <c r="I8" s="170">
        <f t="shared" si="1"/>
        <v>29.57</v>
      </c>
    </row>
    <row r="9" spans="1:9" ht="15" customHeight="1" x14ac:dyDescent="0.25">
      <c r="A9" s="184">
        <v>7</v>
      </c>
      <c r="B9" s="179" t="s">
        <v>252</v>
      </c>
      <c r="C9" s="175" t="s">
        <v>185</v>
      </c>
      <c r="D9" s="180">
        <v>20</v>
      </c>
      <c r="E9" s="190">
        <f>D9*2</f>
        <v>40</v>
      </c>
      <c r="F9" s="175" t="s">
        <v>250</v>
      </c>
      <c r="G9" s="177">
        <v>4</v>
      </c>
      <c r="H9" s="177">
        <f t="shared" si="0"/>
        <v>160</v>
      </c>
      <c r="I9" s="185">
        <f t="shared" si="1"/>
        <v>13.33</v>
      </c>
    </row>
    <row r="10" spans="1:9" ht="15" customHeight="1" x14ac:dyDescent="0.25">
      <c r="A10" s="184">
        <v>8</v>
      </c>
      <c r="B10" s="179" t="s">
        <v>280</v>
      </c>
      <c r="C10" s="175" t="s">
        <v>281</v>
      </c>
      <c r="D10" s="180">
        <v>10</v>
      </c>
      <c r="E10" s="180">
        <f>D10*12</f>
        <v>120</v>
      </c>
      <c r="F10" s="175" t="s">
        <v>251</v>
      </c>
      <c r="G10" s="177">
        <v>6.8</v>
      </c>
      <c r="H10" s="177">
        <f t="shared" si="0"/>
        <v>816</v>
      </c>
      <c r="I10" s="185">
        <f t="shared" si="1"/>
        <v>68</v>
      </c>
    </row>
    <row r="11" spans="1:9" ht="15" customHeight="1" x14ac:dyDescent="0.25">
      <c r="A11" s="204">
        <v>9</v>
      </c>
      <c r="B11" s="194" t="s">
        <v>282</v>
      </c>
      <c r="C11" s="195" t="s">
        <v>283</v>
      </c>
      <c r="D11" s="190">
        <v>1</v>
      </c>
      <c r="E11" s="190">
        <f>D11</f>
        <v>1</v>
      </c>
      <c r="F11" s="175" t="s">
        <v>192</v>
      </c>
      <c r="G11" s="197">
        <v>177.93</v>
      </c>
      <c r="H11" s="197">
        <f t="shared" si="0"/>
        <v>177.93</v>
      </c>
      <c r="I11" s="198">
        <f t="shared" si="1"/>
        <v>14.83</v>
      </c>
    </row>
    <row r="12" spans="1:9" ht="15" customHeight="1" x14ac:dyDescent="0.25">
      <c r="A12" s="188">
        <v>10</v>
      </c>
      <c r="B12" s="179" t="s">
        <v>284</v>
      </c>
      <c r="C12" s="175" t="s">
        <v>185</v>
      </c>
      <c r="D12" s="180">
        <v>17</v>
      </c>
      <c r="E12" s="190">
        <f>D12*2</f>
        <v>34</v>
      </c>
      <c r="F12" s="175" t="s">
        <v>250</v>
      </c>
      <c r="G12" s="177">
        <v>43</v>
      </c>
      <c r="H12" s="177">
        <f t="shared" si="0"/>
        <v>1462</v>
      </c>
      <c r="I12" s="185">
        <f t="shared" si="1"/>
        <v>121.83</v>
      </c>
    </row>
    <row r="13" spans="1:9" ht="15" customHeight="1" thickBot="1" x14ac:dyDescent="0.3">
      <c r="A13" s="476"/>
      <c r="B13" s="477"/>
      <c r="C13" s="477"/>
      <c r="D13" s="477"/>
      <c r="E13" s="477"/>
      <c r="F13" s="477"/>
      <c r="G13" s="478"/>
      <c r="H13" s="171">
        <f>SUM(H3:H12)</f>
        <v>5818.89</v>
      </c>
      <c r="I13" s="172">
        <f>SUM(I3:I12)</f>
        <v>484.91</v>
      </c>
    </row>
    <row r="14" spans="1:9" ht="15" customHeight="1" thickBot="1" x14ac:dyDescent="0.3">
      <c r="A14" s="468" t="s">
        <v>335</v>
      </c>
      <c r="B14" s="469"/>
      <c r="C14" s="469"/>
      <c r="D14" s="469"/>
      <c r="E14" s="469"/>
      <c r="F14" s="469"/>
      <c r="G14" s="469"/>
      <c r="H14" s="469"/>
      <c r="I14" s="173">
        <f>I13/18</f>
        <v>26.94</v>
      </c>
    </row>
    <row r="15" spans="1:9" ht="15" customHeight="1" thickBot="1" x14ac:dyDescent="0.3">
      <c r="A15" s="473"/>
      <c r="B15" s="474"/>
      <c r="C15" s="474"/>
      <c r="D15" s="474"/>
      <c r="E15" s="474"/>
      <c r="F15" s="474"/>
      <c r="G15" s="474"/>
      <c r="H15" s="474"/>
      <c r="I15" s="475"/>
    </row>
    <row r="16" spans="1:9" ht="15" customHeight="1" x14ac:dyDescent="0.25">
      <c r="A16" s="459" t="s">
        <v>285</v>
      </c>
      <c r="B16" s="460"/>
      <c r="C16" s="460"/>
      <c r="D16" s="460"/>
      <c r="E16" s="460"/>
      <c r="F16" s="460"/>
      <c r="G16" s="460"/>
      <c r="H16" s="460"/>
      <c r="I16" s="461"/>
    </row>
    <row r="17" spans="1:9" ht="30" customHeight="1" x14ac:dyDescent="0.25">
      <c r="A17" s="165" t="s">
        <v>271</v>
      </c>
      <c r="B17" s="159" t="s">
        <v>272</v>
      </c>
      <c r="C17" s="159" t="s">
        <v>185</v>
      </c>
      <c r="D17" s="159" t="s">
        <v>186</v>
      </c>
      <c r="E17" s="159" t="s">
        <v>336</v>
      </c>
      <c r="F17" s="159" t="s">
        <v>187</v>
      </c>
      <c r="G17" s="205" t="s">
        <v>188</v>
      </c>
      <c r="H17" s="205" t="s">
        <v>205</v>
      </c>
      <c r="I17" s="166" t="s">
        <v>206</v>
      </c>
    </row>
    <row r="18" spans="1:9" ht="15" customHeight="1" x14ac:dyDescent="0.25">
      <c r="A18" s="184">
        <v>1</v>
      </c>
      <c r="B18" s="179" t="s">
        <v>286</v>
      </c>
      <c r="C18" s="175" t="s">
        <v>185</v>
      </c>
      <c r="D18" s="183">
        <v>32</v>
      </c>
      <c r="E18" s="176">
        <f>D18*2</f>
        <v>64</v>
      </c>
      <c r="F18" s="175" t="s">
        <v>250</v>
      </c>
      <c r="G18" s="177">
        <v>33.619999999999997</v>
      </c>
      <c r="H18" s="177">
        <f>G18*E18</f>
        <v>2151.6799999999998</v>
      </c>
      <c r="I18" s="185">
        <f>H18/12</f>
        <v>179.31</v>
      </c>
    </row>
    <row r="19" spans="1:9" ht="15" customHeight="1" thickBot="1" x14ac:dyDescent="0.3">
      <c r="A19" s="184">
        <v>2</v>
      </c>
      <c r="B19" s="179" t="s">
        <v>287</v>
      </c>
      <c r="C19" s="175" t="s">
        <v>185</v>
      </c>
      <c r="D19" s="183">
        <v>32</v>
      </c>
      <c r="E19" s="176">
        <f>D19*2</f>
        <v>64</v>
      </c>
      <c r="F19" s="175" t="s">
        <v>250</v>
      </c>
      <c r="G19" s="177">
        <v>70</v>
      </c>
      <c r="H19" s="177">
        <f>G19*E19</f>
        <v>4480</v>
      </c>
      <c r="I19" s="202">
        <f>H19/12</f>
        <v>373.33</v>
      </c>
    </row>
    <row r="20" spans="1:9" ht="15" customHeight="1" thickBot="1" x14ac:dyDescent="0.3">
      <c r="A20" s="462" t="s">
        <v>253</v>
      </c>
      <c r="B20" s="463"/>
      <c r="C20" s="463"/>
      <c r="D20" s="463"/>
      <c r="E20" s="463"/>
      <c r="F20" s="463"/>
      <c r="G20" s="463"/>
      <c r="H20" s="464"/>
      <c r="I20" s="174">
        <f>SUM(I18:I19)/18</f>
        <v>30.7</v>
      </c>
    </row>
    <row r="21" spans="1:9" ht="15" customHeight="1" thickBot="1" x14ac:dyDescent="0.3">
      <c r="A21" s="470"/>
      <c r="B21" s="471"/>
      <c r="C21" s="471"/>
      <c r="D21" s="471"/>
      <c r="E21" s="471"/>
      <c r="F21" s="471"/>
      <c r="G21" s="471"/>
      <c r="H21" s="471"/>
      <c r="I21" s="472"/>
    </row>
    <row r="22" spans="1:9" ht="15" customHeight="1" x14ac:dyDescent="0.25">
      <c r="A22" s="459" t="s">
        <v>288</v>
      </c>
      <c r="B22" s="460"/>
      <c r="C22" s="460"/>
      <c r="D22" s="460"/>
      <c r="E22" s="460"/>
      <c r="F22" s="460"/>
      <c r="G22" s="460"/>
      <c r="H22" s="460"/>
      <c r="I22" s="461"/>
    </row>
    <row r="23" spans="1:9" ht="30" customHeight="1" x14ac:dyDescent="0.25">
      <c r="A23" s="165" t="s">
        <v>271</v>
      </c>
      <c r="B23" s="159" t="s">
        <v>272</v>
      </c>
      <c r="C23" s="159" t="s">
        <v>185</v>
      </c>
      <c r="D23" s="159" t="s">
        <v>186</v>
      </c>
      <c r="E23" s="159" t="s">
        <v>336</v>
      </c>
      <c r="F23" s="159" t="s">
        <v>187</v>
      </c>
      <c r="G23" s="205" t="s">
        <v>188</v>
      </c>
      <c r="H23" s="205" t="s">
        <v>205</v>
      </c>
      <c r="I23" s="166" t="s">
        <v>206</v>
      </c>
    </row>
    <row r="24" spans="1:9" ht="15" customHeight="1" x14ac:dyDescent="0.25">
      <c r="A24" s="184">
        <v>1</v>
      </c>
      <c r="B24" s="179" t="s">
        <v>289</v>
      </c>
      <c r="C24" s="175" t="s">
        <v>185</v>
      </c>
      <c r="D24" s="176">
        <v>3</v>
      </c>
      <c r="E24" s="176">
        <f>D24*2</f>
        <v>6</v>
      </c>
      <c r="F24" s="175" t="s">
        <v>250</v>
      </c>
      <c r="G24" s="177">
        <v>70.599999999999994</v>
      </c>
      <c r="H24" s="177">
        <f>G24*E24</f>
        <v>423.6</v>
      </c>
      <c r="I24" s="203">
        <f>H24/12</f>
        <v>35.299999999999997</v>
      </c>
    </row>
    <row r="25" spans="1:9" ht="15" customHeight="1" thickBot="1" x14ac:dyDescent="0.3">
      <c r="A25" s="167">
        <v>2</v>
      </c>
      <c r="B25" s="161" t="s">
        <v>287</v>
      </c>
      <c r="C25" s="162" t="s">
        <v>185</v>
      </c>
      <c r="D25" s="160">
        <v>3</v>
      </c>
      <c r="E25" s="160">
        <f>D25*2</f>
        <v>6</v>
      </c>
      <c r="F25" s="162" t="s">
        <v>250</v>
      </c>
      <c r="G25" s="169">
        <v>70</v>
      </c>
      <c r="H25" s="169">
        <f>G25*E25</f>
        <v>420</v>
      </c>
      <c r="I25" s="186">
        <f>H25/12</f>
        <v>35</v>
      </c>
    </row>
    <row r="26" spans="1:9" ht="15" customHeight="1" thickBot="1" x14ac:dyDescent="0.3">
      <c r="A26" s="465" t="s">
        <v>334</v>
      </c>
      <c r="B26" s="466"/>
      <c r="C26" s="466"/>
      <c r="D26" s="466"/>
      <c r="E26" s="466"/>
      <c r="F26" s="466"/>
      <c r="G26" s="466"/>
      <c r="H26" s="467"/>
      <c r="I26" s="187">
        <f>SUM(I24:I25)</f>
        <v>70.3</v>
      </c>
    </row>
  </sheetData>
  <mergeCells count="9">
    <mergeCell ref="A1:I1"/>
    <mergeCell ref="A16:I16"/>
    <mergeCell ref="A22:I22"/>
    <mergeCell ref="A20:H20"/>
    <mergeCell ref="A26:H26"/>
    <mergeCell ref="A14:H14"/>
    <mergeCell ref="A21:I21"/>
    <mergeCell ref="A15:I15"/>
    <mergeCell ref="A13:G13"/>
  </mergeCells>
  <pageMargins left="0.7" right="0.7" top="0.75" bottom="0.75" header="0.3" footer="0.3"/>
  <pageSetup paperSize="9" scale="4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
  <sheetViews>
    <sheetView view="pageBreakPreview" zoomScaleNormal="90" zoomScaleSheetLayoutView="100" workbookViewId="0">
      <selection activeCell="A3" sqref="A3"/>
    </sheetView>
  </sheetViews>
  <sheetFormatPr defaultRowHeight="12.75" x14ac:dyDescent="0.25"/>
  <cols>
    <col min="1" max="1" width="8.7109375" style="158" customWidth="1"/>
    <col min="2" max="2" width="90.7109375" style="158" customWidth="1"/>
    <col min="3" max="9" width="15.7109375" style="158" customWidth="1"/>
    <col min="10" max="16384" width="9.140625" style="158"/>
  </cols>
  <sheetData>
    <row r="1" spans="1:9" ht="15" customHeight="1" x14ac:dyDescent="0.25">
      <c r="A1" s="485" t="s">
        <v>290</v>
      </c>
      <c r="B1" s="486"/>
      <c r="C1" s="486"/>
      <c r="D1" s="486"/>
      <c r="E1" s="486"/>
      <c r="F1" s="486"/>
      <c r="G1" s="486"/>
      <c r="H1" s="486"/>
      <c r="I1" s="487"/>
    </row>
    <row r="2" spans="1:9" ht="30" customHeight="1" x14ac:dyDescent="0.25">
      <c r="A2" s="165" t="s">
        <v>271</v>
      </c>
      <c r="B2" s="159" t="s">
        <v>272</v>
      </c>
      <c r="C2" s="159" t="s">
        <v>185</v>
      </c>
      <c r="D2" s="159" t="s">
        <v>186</v>
      </c>
      <c r="E2" s="159" t="s">
        <v>336</v>
      </c>
      <c r="F2" s="159" t="s">
        <v>187</v>
      </c>
      <c r="G2" s="153" t="s">
        <v>188</v>
      </c>
      <c r="H2" s="154" t="s">
        <v>205</v>
      </c>
      <c r="I2" s="164" t="s">
        <v>206</v>
      </c>
    </row>
    <row r="3" spans="1:9" ht="15" customHeight="1" x14ac:dyDescent="0.25">
      <c r="A3" s="178">
        <v>1</v>
      </c>
      <c r="B3" s="179" t="s">
        <v>291</v>
      </c>
      <c r="C3" s="175" t="s">
        <v>185</v>
      </c>
      <c r="D3" s="180">
        <v>50</v>
      </c>
      <c r="E3" s="180">
        <f t="shared" ref="E3:E24" si="0">D3*12</f>
        <v>600</v>
      </c>
      <c r="F3" s="175" t="s">
        <v>251</v>
      </c>
      <c r="G3" s="181">
        <f>0.59*8</f>
        <v>4.72</v>
      </c>
      <c r="H3" s="177">
        <f t="shared" ref="H3:H24" si="1">G3*E3</f>
        <v>2832</v>
      </c>
      <c r="I3" s="185">
        <f t="shared" ref="I3:I24" si="2">G3*D3</f>
        <v>236</v>
      </c>
    </row>
    <row r="4" spans="1:9" ht="15" customHeight="1" x14ac:dyDescent="0.25">
      <c r="A4" s="178">
        <v>2</v>
      </c>
      <c r="B4" s="179" t="s">
        <v>292</v>
      </c>
      <c r="C4" s="175" t="s">
        <v>185</v>
      </c>
      <c r="D4" s="180">
        <v>30</v>
      </c>
      <c r="E4" s="180">
        <f t="shared" si="0"/>
        <v>360</v>
      </c>
      <c r="F4" s="175" t="s">
        <v>251</v>
      </c>
      <c r="G4" s="181">
        <v>3.92</v>
      </c>
      <c r="H4" s="177">
        <f t="shared" si="1"/>
        <v>1411.2</v>
      </c>
      <c r="I4" s="185">
        <f t="shared" si="2"/>
        <v>117.6</v>
      </c>
    </row>
    <row r="5" spans="1:9" ht="15" customHeight="1" x14ac:dyDescent="0.25">
      <c r="A5" s="178">
        <v>3</v>
      </c>
      <c r="B5" s="179" t="s">
        <v>293</v>
      </c>
      <c r="C5" s="175" t="s">
        <v>294</v>
      </c>
      <c r="D5" s="190">
        <v>6</v>
      </c>
      <c r="E5" s="180">
        <f t="shared" si="0"/>
        <v>72</v>
      </c>
      <c r="F5" s="175" t="s">
        <v>251</v>
      </c>
      <c r="G5" s="181">
        <f>73</f>
        <v>73</v>
      </c>
      <c r="H5" s="177">
        <f t="shared" si="1"/>
        <v>5256</v>
      </c>
      <c r="I5" s="185">
        <f t="shared" si="2"/>
        <v>438</v>
      </c>
    </row>
    <row r="6" spans="1:9" ht="180" customHeight="1" x14ac:dyDescent="0.25">
      <c r="A6" s="178">
        <v>4</v>
      </c>
      <c r="B6" s="179" t="s">
        <v>361</v>
      </c>
      <c r="C6" s="175" t="s">
        <v>185</v>
      </c>
      <c r="D6" s="180">
        <v>50</v>
      </c>
      <c r="E6" s="180">
        <f t="shared" si="0"/>
        <v>600</v>
      </c>
      <c r="F6" s="175" t="s">
        <v>251</v>
      </c>
      <c r="G6" s="181">
        <v>5.89</v>
      </c>
      <c r="H6" s="177">
        <f t="shared" si="1"/>
        <v>3534</v>
      </c>
      <c r="I6" s="185">
        <f t="shared" si="2"/>
        <v>294.5</v>
      </c>
    </row>
    <row r="7" spans="1:9" ht="129.94999999999999" customHeight="1" x14ac:dyDescent="0.25">
      <c r="A7" s="178">
        <v>5</v>
      </c>
      <c r="B7" s="179" t="s">
        <v>295</v>
      </c>
      <c r="C7" s="175" t="s">
        <v>185</v>
      </c>
      <c r="D7" s="180">
        <v>84</v>
      </c>
      <c r="E7" s="180">
        <f t="shared" si="0"/>
        <v>1008</v>
      </c>
      <c r="F7" s="175" t="s">
        <v>251</v>
      </c>
      <c r="G7" s="181">
        <f>16.65/8.33</f>
        <v>2</v>
      </c>
      <c r="H7" s="177">
        <f t="shared" si="1"/>
        <v>2016</v>
      </c>
      <c r="I7" s="185">
        <f t="shared" si="2"/>
        <v>168</v>
      </c>
    </row>
    <row r="8" spans="1:9" ht="15" customHeight="1" x14ac:dyDescent="0.25">
      <c r="A8" s="184">
        <v>6</v>
      </c>
      <c r="B8" s="179" t="s">
        <v>296</v>
      </c>
      <c r="C8" s="175" t="s">
        <v>297</v>
      </c>
      <c r="D8" s="183">
        <v>10</v>
      </c>
      <c r="E8" s="183">
        <f t="shared" si="0"/>
        <v>120</v>
      </c>
      <c r="F8" s="175" t="s">
        <v>251</v>
      </c>
      <c r="G8" s="177">
        <v>23</v>
      </c>
      <c r="H8" s="177">
        <f t="shared" si="1"/>
        <v>2760</v>
      </c>
      <c r="I8" s="185">
        <f t="shared" si="2"/>
        <v>230</v>
      </c>
    </row>
    <row r="9" spans="1:9" ht="15" customHeight="1" x14ac:dyDescent="0.25">
      <c r="A9" s="184">
        <v>7</v>
      </c>
      <c r="B9" s="179" t="s">
        <v>298</v>
      </c>
      <c r="C9" s="175" t="s">
        <v>297</v>
      </c>
      <c r="D9" s="183">
        <v>12</v>
      </c>
      <c r="E9" s="183">
        <f t="shared" si="0"/>
        <v>144</v>
      </c>
      <c r="F9" s="175" t="s">
        <v>251</v>
      </c>
      <c r="G9" s="177">
        <v>23</v>
      </c>
      <c r="H9" s="177">
        <f t="shared" si="1"/>
        <v>3312</v>
      </c>
      <c r="I9" s="185">
        <f t="shared" si="2"/>
        <v>276</v>
      </c>
    </row>
    <row r="10" spans="1:9" ht="219.95" customHeight="1" x14ac:dyDescent="0.25">
      <c r="A10" s="184">
        <v>8</v>
      </c>
      <c r="B10" s="179" t="s">
        <v>299</v>
      </c>
      <c r="C10" s="175" t="s">
        <v>185</v>
      </c>
      <c r="D10" s="183">
        <v>40</v>
      </c>
      <c r="E10" s="183">
        <f t="shared" si="0"/>
        <v>480</v>
      </c>
      <c r="F10" s="175" t="s">
        <v>251</v>
      </c>
      <c r="G10" s="177">
        <v>6</v>
      </c>
      <c r="H10" s="177">
        <f t="shared" si="1"/>
        <v>2880</v>
      </c>
      <c r="I10" s="185">
        <f t="shared" si="2"/>
        <v>240</v>
      </c>
    </row>
    <row r="11" spans="1:9" ht="219.95" customHeight="1" x14ac:dyDescent="0.25">
      <c r="A11" s="178">
        <v>9</v>
      </c>
      <c r="B11" s="179" t="s">
        <v>364</v>
      </c>
      <c r="C11" s="175" t="s">
        <v>300</v>
      </c>
      <c r="D11" s="190">
        <v>5</v>
      </c>
      <c r="E11" s="180">
        <f t="shared" si="0"/>
        <v>60</v>
      </c>
      <c r="F11" s="175" t="s">
        <v>251</v>
      </c>
      <c r="G11" s="181">
        <f>6*5</f>
        <v>30</v>
      </c>
      <c r="H11" s="177">
        <f t="shared" si="1"/>
        <v>1800</v>
      </c>
      <c r="I11" s="185">
        <f t="shared" si="2"/>
        <v>150</v>
      </c>
    </row>
    <row r="12" spans="1:9" ht="30" customHeight="1" x14ac:dyDescent="0.25">
      <c r="A12" s="191">
        <v>10</v>
      </c>
      <c r="B12" s="179" t="s">
        <v>359</v>
      </c>
      <c r="C12" s="175" t="s">
        <v>301</v>
      </c>
      <c r="D12" s="180">
        <v>15</v>
      </c>
      <c r="E12" s="180">
        <f t="shared" si="0"/>
        <v>180</v>
      </c>
      <c r="F12" s="175" t="s">
        <v>251</v>
      </c>
      <c r="G12" s="181">
        <f>2.87*5</f>
        <v>14.35</v>
      </c>
      <c r="H12" s="177">
        <f t="shared" si="1"/>
        <v>2583</v>
      </c>
      <c r="I12" s="185">
        <f t="shared" si="2"/>
        <v>215.25</v>
      </c>
    </row>
    <row r="13" spans="1:9" ht="30" customHeight="1" x14ac:dyDescent="0.25">
      <c r="A13" s="188">
        <v>11</v>
      </c>
      <c r="B13" s="179" t="s">
        <v>302</v>
      </c>
      <c r="C13" s="175" t="s">
        <v>301</v>
      </c>
      <c r="D13" s="183">
        <v>10</v>
      </c>
      <c r="E13" s="183">
        <f t="shared" si="0"/>
        <v>120</v>
      </c>
      <c r="F13" s="175" t="s">
        <v>251</v>
      </c>
      <c r="G13" s="177">
        <v>28</v>
      </c>
      <c r="H13" s="177">
        <f t="shared" si="1"/>
        <v>3360</v>
      </c>
      <c r="I13" s="185">
        <f t="shared" si="2"/>
        <v>280</v>
      </c>
    </row>
    <row r="14" spans="1:9" ht="15" customHeight="1" x14ac:dyDescent="0.25">
      <c r="A14" s="191">
        <v>12</v>
      </c>
      <c r="B14" s="179" t="s">
        <v>303</v>
      </c>
      <c r="C14" s="175" t="s">
        <v>294</v>
      </c>
      <c r="D14" s="180">
        <v>270</v>
      </c>
      <c r="E14" s="180">
        <f t="shared" si="0"/>
        <v>3240</v>
      </c>
      <c r="F14" s="175" t="s">
        <v>251</v>
      </c>
      <c r="G14" s="181">
        <v>4.68</v>
      </c>
      <c r="H14" s="181">
        <f t="shared" si="1"/>
        <v>15163.2</v>
      </c>
      <c r="I14" s="185">
        <f t="shared" si="2"/>
        <v>1263.5999999999999</v>
      </c>
    </row>
    <row r="15" spans="1:9" ht="30" customHeight="1" x14ac:dyDescent="0.25">
      <c r="A15" s="191">
        <v>13</v>
      </c>
      <c r="B15" s="179" t="s">
        <v>304</v>
      </c>
      <c r="C15" s="175" t="s">
        <v>294</v>
      </c>
      <c r="D15" s="180">
        <v>550</v>
      </c>
      <c r="E15" s="180">
        <f t="shared" si="0"/>
        <v>6600</v>
      </c>
      <c r="F15" s="175" t="s">
        <v>251</v>
      </c>
      <c r="G15" s="181">
        <f>58/6</f>
        <v>9.67</v>
      </c>
      <c r="H15" s="181">
        <f t="shared" si="1"/>
        <v>63822</v>
      </c>
      <c r="I15" s="185">
        <f t="shared" si="2"/>
        <v>5318.5</v>
      </c>
    </row>
    <row r="16" spans="1:9" ht="15" customHeight="1" x14ac:dyDescent="0.25">
      <c r="A16" s="191">
        <v>14</v>
      </c>
      <c r="B16" s="179" t="s">
        <v>305</v>
      </c>
      <c r="C16" s="175" t="s">
        <v>306</v>
      </c>
      <c r="D16" s="190">
        <v>5</v>
      </c>
      <c r="E16" s="180">
        <f t="shared" si="0"/>
        <v>60</v>
      </c>
      <c r="F16" s="175" t="s">
        <v>251</v>
      </c>
      <c r="G16" s="181">
        <v>5.33</v>
      </c>
      <c r="H16" s="181">
        <f t="shared" si="1"/>
        <v>319.8</v>
      </c>
      <c r="I16" s="185">
        <f t="shared" si="2"/>
        <v>26.65</v>
      </c>
    </row>
    <row r="17" spans="1:9" ht="15" customHeight="1" x14ac:dyDescent="0.25">
      <c r="A17" s="191">
        <v>15</v>
      </c>
      <c r="B17" s="179" t="s">
        <v>368</v>
      </c>
      <c r="C17" s="175" t="s">
        <v>246</v>
      </c>
      <c r="D17" s="180">
        <v>40</v>
      </c>
      <c r="E17" s="180">
        <f t="shared" si="0"/>
        <v>480</v>
      </c>
      <c r="F17" s="175" t="s">
        <v>251</v>
      </c>
      <c r="G17" s="181">
        <v>24.9</v>
      </c>
      <c r="H17" s="181">
        <f t="shared" si="1"/>
        <v>11952</v>
      </c>
      <c r="I17" s="185">
        <f t="shared" si="2"/>
        <v>996</v>
      </c>
    </row>
    <row r="18" spans="1:9" ht="15" customHeight="1" x14ac:dyDescent="0.25">
      <c r="A18" s="191">
        <v>16</v>
      </c>
      <c r="B18" s="179" t="s">
        <v>347</v>
      </c>
      <c r="C18" s="175" t="s">
        <v>246</v>
      </c>
      <c r="D18" s="180">
        <v>40</v>
      </c>
      <c r="E18" s="180">
        <f t="shared" si="0"/>
        <v>480</v>
      </c>
      <c r="F18" s="175" t="s">
        <v>251</v>
      </c>
      <c r="G18" s="181">
        <v>24.99</v>
      </c>
      <c r="H18" s="181">
        <f t="shared" si="1"/>
        <v>11995.2</v>
      </c>
      <c r="I18" s="185">
        <f t="shared" si="2"/>
        <v>999.6</v>
      </c>
    </row>
    <row r="19" spans="1:9" ht="15" customHeight="1" x14ac:dyDescent="0.25">
      <c r="A19" s="191">
        <v>17</v>
      </c>
      <c r="B19" s="179" t="s">
        <v>307</v>
      </c>
      <c r="C19" s="175" t="s">
        <v>185</v>
      </c>
      <c r="D19" s="180">
        <v>16</v>
      </c>
      <c r="E19" s="180">
        <f t="shared" si="0"/>
        <v>192</v>
      </c>
      <c r="F19" s="175" t="s">
        <v>251</v>
      </c>
      <c r="G19" s="181">
        <v>24.6</v>
      </c>
      <c r="H19" s="181">
        <f t="shared" si="1"/>
        <v>4723.2</v>
      </c>
      <c r="I19" s="185">
        <f t="shared" si="2"/>
        <v>393.6</v>
      </c>
    </row>
    <row r="20" spans="1:9" ht="15" customHeight="1" x14ac:dyDescent="0.25">
      <c r="A20" s="191">
        <v>18</v>
      </c>
      <c r="B20" s="179" t="s">
        <v>308</v>
      </c>
      <c r="C20" s="175" t="s">
        <v>185</v>
      </c>
      <c r="D20" s="180">
        <v>16</v>
      </c>
      <c r="E20" s="180">
        <f t="shared" si="0"/>
        <v>192</v>
      </c>
      <c r="F20" s="175" t="s">
        <v>251</v>
      </c>
      <c r="G20" s="181">
        <v>24.6</v>
      </c>
      <c r="H20" s="181">
        <f t="shared" si="1"/>
        <v>4723.2</v>
      </c>
      <c r="I20" s="185">
        <f t="shared" si="2"/>
        <v>393.6</v>
      </c>
    </row>
    <row r="21" spans="1:9" ht="15" customHeight="1" x14ac:dyDescent="0.25">
      <c r="A21" s="191">
        <v>19</v>
      </c>
      <c r="B21" s="179" t="s">
        <v>340</v>
      </c>
      <c r="C21" s="175" t="s">
        <v>185</v>
      </c>
      <c r="D21" s="190">
        <v>5</v>
      </c>
      <c r="E21" s="180">
        <f t="shared" si="0"/>
        <v>60</v>
      </c>
      <c r="F21" s="175" t="s">
        <v>251</v>
      </c>
      <c r="G21" s="181">
        <v>3.29</v>
      </c>
      <c r="H21" s="181">
        <f t="shared" si="1"/>
        <v>197.4</v>
      </c>
      <c r="I21" s="185">
        <f t="shared" si="2"/>
        <v>16.45</v>
      </c>
    </row>
    <row r="22" spans="1:9" ht="15" customHeight="1" x14ac:dyDescent="0.25">
      <c r="A22" s="191">
        <v>20</v>
      </c>
      <c r="B22" s="179" t="s">
        <v>346</v>
      </c>
      <c r="C22" s="175" t="s">
        <v>185</v>
      </c>
      <c r="D22" s="190">
        <v>5</v>
      </c>
      <c r="E22" s="180">
        <f t="shared" si="0"/>
        <v>60</v>
      </c>
      <c r="F22" s="175" t="s">
        <v>251</v>
      </c>
      <c r="G22" s="181">
        <v>1.89</v>
      </c>
      <c r="H22" s="181">
        <f t="shared" si="1"/>
        <v>113.4</v>
      </c>
      <c r="I22" s="185">
        <f t="shared" si="2"/>
        <v>9.4499999999999993</v>
      </c>
    </row>
    <row r="23" spans="1:9" ht="15" customHeight="1" x14ac:dyDescent="0.25">
      <c r="A23" s="191">
        <v>21</v>
      </c>
      <c r="B23" s="179" t="s">
        <v>309</v>
      </c>
      <c r="C23" s="175" t="s">
        <v>185</v>
      </c>
      <c r="D23" s="190">
        <v>5</v>
      </c>
      <c r="E23" s="180">
        <f t="shared" si="0"/>
        <v>60</v>
      </c>
      <c r="F23" s="175" t="s">
        <v>251</v>
      </c>
      <c r="G23" s="181">
        <v>11</v>
      </c>
      <c r="H23" s="181">
        <f t="shared" si="1"/>
        <v>660</v>
      </c>
      <c r="I23" s="185">
        <f t="shared" si="2"/>
        <v>55</v>
      </c>
    </row>
    <row r="24" spans="1:9" ht="15" customHeight="1" thickBot="1" x14ac:dyDescent="0.3">
      <c r="A24" s="232">
        <v>22</v>
      </c>
      <c r="B24" s="227" t="s">
        <v>310</v>
      </c>
      <c r="C24" s="228" t="s">
        <v>185</v>
      </c>
      <c r="D24" s="233">
        <v>5</v>
      </c>
      <c r="E24" s="234">
        <f t="shared" si="0"/>
        <v>60</v>
      </c>
      <c r="F24" s="228" t="s">
        <v>251</v>
      </c>
      <c r="G24" s="235">
        <v>11</v>
      </c>
      <c r="H24" s="235">
        <f t="shared" si="1"/>
        <v>660</v>
      </c>
      <c r="I24" s="185">
        <f t="shared" si="2"/>
        <v>55</v>
      </c>
    </row>
    <row r="25" spans="1:9" ht="15" customHeight="1" thickBot="1" x14ac:dyDescent="0.3">
      <c r="A25" s="494"/>
      <c r="B25" s="495"/>
      <c r="C25" s="495"/>
      <c r="D25" s="495"/>
      <c r="E25" s="495"/>
      <c r="F25" s="495"/>
      <c r="G25" s="495"/>
      <c r="H25" s="268">
        <f>SUM(H3:H24)</f>
        <v>146073.60000000001</v>
      </c>
      <c r="I25" s="236">
        <f>SUM(I3:I24)</f>
        <v>12172.8</v>
      </c>
    </row>
    <row r="26" spans="1:9" ht="15" customHeight="1" thickBot="1" x14ac:dyDescent="0.3">
      <c r="A26" s="488" t="s">
        <v>335</v>
      </c>
      <c r="B26" s="489"/>
      <c r="C26" s="489"/>
      <c r="D26" s="489"/>
      <c r="E26" s="489"/>
      <c r="F26" s="489"/>
      <c r="G26" s="489"/>
      <c r="H26" s="490"/>
      <c r="I26" s="174">
        <f>I25/18</f>
        <v>676.27</v>
      </c>
    </row>
    <row r="27" spans="1:9" ht="15" customHeight="1" x14ac:dyDescent="0.25">
      <c r="A27" s="491" t="s">
        <v>360</v>
      </c>
      <c r="B27" s="492"/>
      <c r="C27" s="492"/>
      <c r="D27" s="492"/>
      <c r="E27" s="492"/>
      <c r="F27" s="492"/>
      <c r="G27" s="492"/>
      <c r="H27" s="492"/>
      <c r="I27" s="493"/>
    </row>
    <row r="28" spans="1:9" ht="30" customHeight="1" x14ac:dyDescent="0.25">
      <c r="A28" s="482" t="s">
        <v>362</v>
      </c>
      <c r="B28" s="483"/>
      <c r="C28" s="483"/>
      <c r="D28" s="483"/>
      <c r="E28" s="483"/>
      <c r="F28" s="483"/>
      <c r="G28" s="483"/>
      <c r="H28" s="483"/>
      <c r="I28" s="484"/>
    </row>
    <row r="29" spans="1:9" ht="30" customHeight="1" x14ac:dyDescent="0.25">
      <c r="A29" s="482" t="s">
        <v>363</v>
      </c>
      <c r="B29" s="483"/>
      <c r="C29" s="483"/>
      <c r="D29" s="483"/>
      <c r="E29" s="483"/>
      <c r="F29" s="483"/>
      <c r="G29" s="483"/>
      <c r="H29" s="483"/>
      <c r="I29" s="484"/>
    </row>
    <row r="30" spans="1:9" ht="30" customHeight="1" x14ac:dyDescent="0.25">
      <c r="A30" s="482" t="s">
        <v>366</v>
      </c>
      <c r="B30" s="483"/>
      <c r="C30" s="483"/>
      <c r="D30" s="483"/>
      <c r="E30" s="483"/>
      <c r="F30" s="483"/>
      <c r="G30" s="483"/>
      <c r="H30" s="483"/>
      <c r="I30" s="484"/>
    </row>
    <row r="31" spans="1:9" ht="30" customHeight="1" x14ac:dyDescent="0.25">
      <c r="A31" s="482" t="s">
        <v>369</v>
      </c>
      <c r="B31" s="483"/>
      <c r="C31" s="483"/>
      <c r="D31" s="483"/>
      <c r="E31" s="483"/>
      <c r="F31" s="483"/>
      <c r="G31" s="483"/>
      <c r="H31" s="483"/>
      <c r="I31" s="484"/>
    </row>
    <row r="32" spans="1:9" ht="30" customHeight="1" x14ac:dyDescent="0.25">
      <c r="A32" s="482" t="s">
        <v>370</v>
      </c>
      <c r="B32" s="483"/>
      <c r="C32" s="483"/>
      <c r="D32" s="483"/>
      <c r="E32" s="483"/>
      <c r="F32" s="483"/>
      <c r="G32" s="483"/>
      <c r="H32" s="483"/>
      <c r="I32" s="484"/>
    </row>
    <row r="33" spans="1:9" ht="30" customHeight="1" thickBot="1" x14ac:dyDescent="0.3">
      <c r="A33" s="479" t="s">
        <v>367</v>
      </c>
      <c r="B33" s="480"/>
      <c r="C33" s="480"/>
      <c r="D33" s="480"/>
      <c r="E33" s="480"/>
      <c r="F33" s="480"/>
      <c r="G33" s="480"/>
      <c r="H33" s="480"/>
      <c r="I33" s="481"/>
    </row>
  </sheetData>
  <mergeCells count="10">
    <mergeCell ref="A33:I33"/>
    <mergeCell ref="A31:I31"/>
    <mergeCell ref="A1:I1"/>
    <mergeCell ref="A26:H26"/>
    <mergeCell ref="A28:I28"/>
    <mergeCell ref="A27:I27"/>
    <mergeCell ref="A29:I29"/>
    <mergeCell ref="A30:I30"/>
    <mergeCell ref="A32:I32"/>
    <mergeCell ref="A25:G25"/>
  </mergeCells>
  <pageMargins left="0.7" right="0.7" top="0.75" bottom="0.75" header="0.3" footer="0.3"/>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10</vt:i4>
      </vt:variant>
    </vt:vector>
  </HeadingPairs>
  <TitlesOfParts>
    <vt:vector size="20" baseType="lpstr">
      <vt:lpstr>Plan2</vt:lpstr>
      <vt:lpstr>Plan3</vt:lpstr>
      <vt:lpstr>PLANILHA </vt:lpstr>
      <vt:lpstr>M2</vt:lpstr>
      <vt:lpstr>Auxiliar de Limpeza - Diurno</vt:lpstr>
      <vt:lpstr>Auxiliar de Limpeza - Noturno</vt:lpstr>
      <vt:lpstr>Encarregado - Diurno</vt:lpstr>
      <vt:lpstr>EPI's e Uniformes</vt:lpstr>
      <vt:lpstr>Material de Limpeza</vt:lpstr>
      <vt:lpstr>Equipamentos</vt:lpstr>
      <vt:lpstr>'Auxiliar de Limpeza - Diurno'!Area_de_impressao</vt:lpstr>
      <vt:lpstr>'Auxiliar de Limpeza - Noturno'!Area_de_impressao</vt:lpstr>
      <vt:lpstr>'Encarregado - Diurno'!Area_de_impressao</vt:lpstr>
      <vt:lpstr>Equipamentos!Area_de_impressao</vt:lpstr>
      <vt:lpstr>'M2'!Area_de_impressao</vt:lpstr>
      <vt:lpstr>'Material de Limpeza'!Area_de_impressao</vt:lpstr>
      <vt:lpstr>'PLANILHA '!Area_de_impressao</vt:lpstr>
      <vt:lpstr>'Auxiliar de Limpeza - Diurno'!Titulos_de_impressao</vt:lpstr>
      <vt:lpstr>'Auxiliar de Limpeza - Noturno'!Titulos_de_impressao</vt:lpstr>
      <vt:lpstr>'Encarregado - Diurno'!Titulos_de_impressao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Alline Queiroz Da Silva</cp:lastModifiedBy>
  <cp:lastPrinted>2024-09-03T19:07:21Z</cp:lastPrinted>
  <dcterms:created xsi:type="dcterms:W3CDTF">2014-04-11T01:53:38Z</dcterms:created>
  <dcterms:modified xsi:type="dcterms:W3CDTF">2024-09-19T14:28:34Z</dcterms:modified>
</cp:coreProperties>
</file>