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11882323475\Desktop\Processos\3 - GECOMP\14 - 0036.019440.2023-28 - Limpeza - CERO (Licitatório)\"/>
    </mc:Choice>
  </mc:AlternateContent>
  <bookViews>
    <workbookView xWindow="0" yWindow="0" windowWidth="28800" windowHeight="11730" tabRatio="869" firstSheet="2" activeTab="2"/>
  </bookViews>
  <sheets>
    <sheet name="Plan2" sheetId="2" state="hidden" r:id="rId1"/>
    <sheet name="Plan3" sheetId="3" state="hidden" r:id="rId2"/>
    <sheet name="PLANILHA " sheetId="9" r:id="rId3"/>
    <sheet name="M2" sheetId="57" r:id="rId4"/>
    <sheet name="Auxiliar de Limpeza" sheetId="11" r:id="rId5"/>
    <sheet name="Uniformes" sheetId="58" r:id="rId6"/>
    <sheet name="Insumos" sheetId="60" r:id="rId7"/>
    <sheet name="Equipamentos-Mater. Permanentes" sheetId="61" r:id="rId8"/>
  </sheets>
  <definedNames>
    <definedName name="_xlnm.Print_Area" localSheetId="4">'Auxiliar de Limpeza'!$A$1:$E$112</definedName>
    <definedName name="_xlnm.Print_Area" localSheetId="7">'Equipamentos-Mater. Permanentes'!$A$1:$H$34</definedName>
    <definedName name="_xlnm.Print_Area" localSheetId="6">Insumos!$A$1:$H$67</definedName>
    <definedName name="_xlnm.Print_Area" localSheetId="2">'PLANILHA '!$A$1:$H$7</definedName>
    <definedName name="_xlnm.Print_Area" localSheetId="5">Uniformes!$A$1:$H$30</definedName>
    <definedName name="_xlnm.Print_Titles" localSheetId="4">'Auxiliar de Limpeza'!$1:$1</definedName>
    <definedName name="_xlnm.Print_Titles" localSheetId="2">'PLANILHA '!#REF!</definedName>
  </definedNames>
  <calcPr calcId="162913" iterateDelta="1E-4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5" i="58" l="1"/>
  <c r="H14" i="58"/>
  <c r="H13" i="58"/>
  <c r="H12" i="58"/>
  <c r="H11" i="58"/>
  <c r="H10" i="58"/>
  <c r="H9" i="58"/>
  <c r="H8" i="58"/>
  <c r="H7" i="58"/>
  <c r="H6" i="58"/>
  <c r="H5" i="58"/>
  <c r="H4" i="58"/>
  <c r="G14" i="58"/>
  <c r="G13" i="58"/>
  <c r="G12" i="58"/>
  <c r="G11" i="58"/>
  <c r="G10" i="58"/>
  <c r="G9" i="58"/>
  <c r="G8" i="58"/>
  <c r="G7" i="58"/>
  <c r="G6" i="58"/>
  <c r="G5" i="58"/>
  <c r="G4" i="58"/>
  <c r="H33" i="61"/>
  <c r="H34" i="61" s="1"/>
  <c r="G33" i="61"/>
  <c r="H56" i="60"/>
  <c r="H55" i="60"/>
  <c r="H54" i="60"/>
  <c r="H53" i="60"/>
  <c r="H52" i="60"/>
  <c r="H51" i="60"/>
  <c r="G55" i="60"/>
  <c r="G54" i="60"/>
  <c r="G53" i="60"/>
  <c r="G52" i="60"/>
  <c r="G51" i="60"/>
  <c r="H48" i="60"/>
  <c r="H47" i="60"/>
  <c r="H46" i="60"/>
  <c r="H45" i="60"/>
  <c r="H44" i="60"/>
  <c r="G48" i="60"/>
  <c r="G47" i="60"/>
  <c r="G46" i="60"/>
  <c r="G45" i="60"/>
  <c r="G44" i="60"/>
  <c r="H41" i="60"/>
  <c r="H40" i="60"/>
  <c r="H39" i="60"/>
  <c r="H38" i="60"/>
  <c r="H37" i="60"/>
  <c r="H36" i="60"/>
  <c r="H35" i="60"/>
  <c r="H33" i="60"/>
  <c r="H32" i="60"/>
  <c r="H31" i="60"/>
  <c r="H30" i="60"/>
  <c r="H29" i="60"/>
  <c r="H28" i="60"/>
  <c r="H27" i="60"/>
  <c r="H26" i="60"/>
  <c r="H25" i="60"/>
  <c r="H24" i="60"/>
  <c r="H23" i="60"/>
  <c r="H22" i="60"/>
  <c r="H21" i="60"/>
  <c r="H20" i="60"/>
  <c r="H19" i="60"/>
  <c r="H18" i="60"/>
  <c r="H17" i="60"/>
  <c r="H16" i="60"/>
  <c r="H15" i="60"/>
  <c r="H14" i="60"/>
  <c r="H13" i="60"/>
  <c r="H12" i="60"/>
  <c r="H11" i="60"/>
  <c r="H10" i="60"/>
  <c r="H9" i="60"/>
  <c r="H8" i="60"/>
  <c r="H7" i="60"/>
  <c r="H6" i="60"/>
  <c r="H5" i="60"/>
  <c r="H4" i="60"/>
  <c r="G40" i="60"/>
  <c r="G39" i="60"/>
  <c r="G38" i="60"/>
  <c r="G37" i="60"/>
  <c r="G36" i="60"/>
  <c r="G35" i="60"/>
  <c r="G34" i="60"/>
  <c r="G33" i="60"/>
  <c r="G32" i="60"/>
  <c r="G31" i="60"/>
  <c r="G30" i="60"/>
  <c r="G29" i="60"/>
  <c r="G28" i="60"/>
  <c r="G27" i="60"/>
  <c r="G26" i="60"/>
  <c r="G25" i="60"/>
  <c r="G24" i="60"/>
  <c r="G23" i="60"/>
  <c r="G22" i="60"/>
  <c r="G21" i="60"/>
  <c r="G20" i="60"/>
  <c r="G19" i="60"/>
  <c r="G18" i="60"/>
  <c r="G17" i="60"/>
  <c r="G16" i="60"/>
  <c r="G15" i="60"/>
  <c r="G14" i="60"/>
  <c r="G13" i="60"/>
  <c r="G12" i="60"/>
  <c r="G11" i="60"/>
  <c r="G10" i="60"/>
  <c r="G9" i="60"/>
  <c r="G8" i="60"/>
  <c r="G7" i="60"/>
  <c r="G6" i="60"/>
  <c r="G5" i="60"/>
  <c r="G4" i="60"/>
  <c r="E5" i="60"/>
  <c r="E4" i="60"/>
  <c r="H32" i="61"/>
  <c r="H31" i="61"/>
  <c r="H30" i="61"/>
  <c r="H29" i="61"/>
  <c r="H28" i="61"/>
  <c r="H27" i="61"/>
  <c r="H26" i="61"/>
  <c r="H25" i="61"/>
  <c r="H24" i="61"/>
  <c r="H23" i="61"/>
  <c r="H22" i="61"/>
  <c r="H21" i="61"/>
  <c r="H18" i="61"/>
  <c r="H17" i="61"/>
  <c r="H16" i="61"/>
  <c r="H15" i="61"/>
  <c r="H14" i="61"/>
  <c r="H13" i="61"/>
  <c r="H12" i="61"/>
  <c r="H11" i="61"/>
  <c r="H10" i="61"/>
  <c r="H9" i="61"/>
  <c r="H8" i="61"/>
  <c r="H7" i="61"/>
  <c r="H6" i="61"/>
  <c r="H5" i="61"/>
  <c r="H4" i="61"/>
  <c r="H3" i="61"/>
  <c r="G32" i="61"/>
  <c r="G31" i="61"/>
  <c r="G30" i="61"/>
  <c r="G29" i="61"/>
  <c r="G28" i="61"/>
  <c r="G27" i="61"/>
  <c r="G26" i="61"/>
  <c r="G25" i="61"/>
  <c r="G24" i="61"/>
  <c r="G23" i="61"/>
  <c r="G22" i="61"/>
  <c r="G21" i="61"/>
  <c r="G18" i="61"/>
  <c r="G17" i="61"/>
  <c r="G16" i="61"/>
  <c r="G15" i="61"/>
  <c r="G14" i="61"/>
  <c r="G13" i="61"/>
  <c r="G12" i="61"/>
  <c r="G11" i="61"/>
  <c r="G10" i="61"/>
  <c r="G9" i="61"/>
  <c r="G8" i="61"/>
  <c r="G7" i="61"/>
  <c r="G6" i="61"/>
  <c r="G5" i="61"/>
  <c r="G4" i="61"/>
  <c r="G3" i="61"/>
  <c r="E41" i="11"/>
  <c r="E40" i="11"/>
  <c r="E39" i="11"/>
  <c r="E38" i="11"/>
  <c r="E37" i="11"/>
  <c r="E36" i="11"/>
  <c r="E35" i="11"/>
  <c r="E34" i="11"/>
  <c r="E33" i="11"/>
  <c r="D41" i="11"/>
  <c r="E30" i="11"/>
  <c r="E29" i="11"/>
  <c r="E28" i="11"/>
  <c r="D30" i="11"/>
  <c r="E20" i="11"/>
  <c r="I5" i="57"/>
  <c r="C10" i="57"/>
  <c r="C5" i="57"/>
  <c r="F27" i="60" l="1"/>
  <c r="F19" i="60"/>
  <c r="F10" i="58" l="1"/>
  <c r="E12" i="60"/>
  <c r="F38" i="60"/>
  <c r="F21" i="60"/>
  <c r="F4" i="60"/>
  <c r="F18" i="60"/>
  <c r="F14" i="60" l="1"/>
  <c r="F7" i="60"/>
  <c r="F36" i="60"/>
  <c r="F35" i="60"/>
  <c r="F37" i="60"/>
  <c r="D71" i="11" l="1"/>
  <c r="E47" i="11" l="1"/>
  <c r="E45" i="11"/>
  <c r="E44" i="11"/>
  <c r="E18" i="11"/>
  <c r="D65" i="11" l="1"/>
  <c r="E19" i="60" l="1"/>
  <c r="H34" i="60" l="1"/>
  <c r="E41" i="60"/>
  <c r="G41" i="60" s="1"/>
  <c r="E40" i="60"/>
  <c r="E39" i="60"/>
  <c r="E38" i="60"/>
  <c r="E37" i="60"/>
  <c r="E36" i="60"/>
  <c r="E35" i="60"/>
  <c r="E34" i="60"/>
  <c r="E33" i="60"/>
  <c r="E32" i="60"/>
  <c r="E31" i="60"/>
  <c r="E30" i="60"/>
  <c r="E29" i="60"/>
  <c r="E28" i="60"/>
  <c r="E27" i="60"/>
  <c r="E26" i="60"/>
  <c r="E25" i="60"/>
  <c r="E24" i="60"/>
  <c r="E23" i="60"/>
  <c r="E22" i="60"/>
  <c r="E21" i="60"/>
  <c r="E20" i="60"/>
  <c r="E18" i="60"/>
  <c r="E17" i="60"/>
  <c r="E16" i="60"/>
  <c r="E15" i="60"/>
  <c r="E14" i="60"/>
  <c r="E13" i="60"/>
  <c r="E11" i="60"/>
  <c r="E10" i="60"/>
  <c r="E9" i="60"/>
  <c r="E8" i="60"/>
  <c r="E7" i="60"/>
  <c r="E6" i="60"/>
  <c r="A45" i="60" l="1"/>
  <c r="A46" i="60" s="1"/>
  <c r="A47" i="60" s="1"/>
  <c r="A52" i="60"/>
  <c r="A53" i="60"/>
  <c r="A54" i="60" s="1"/>
  <c r="E85" i="11" l="1"/>
  <c r="E86" i="11"/>
  <c r="D78" i="11"/>
  <c r="D80" i="11" l="1"/>
  <c r="E79" i="11"/>
  <c r="E25" i="11" l="1"/>
  <c r="E49" i="11"/>
  <c r="E53" i="11" s="1"/>
  <c r="E105" i="11" l="1"/>
  <c r="C58" i="11"/>
  <c r="E58" i="11" s="1"/>
  <c r="C29" i="11"/>
  <c r="C60" i="11"/>
  <c r="E60" i="11" s="1"/>
  <c r="C28" i="11"/>
  <c r="C59" i="11"/>
  <c r="E59" i="11" s="1"/>
  <c r="C61" i="11"/>
  <c r="E61" i="11" s="1"/>
  <c r="C57" i="11"/>
  <c r="E57" i="11" s="1"/>
  <c r="A4" i="61"/>
  <c r="A5" i="61" s="1"/>
  <c r="A6" i="61" s="1"/>
  <c r="A7" i="61" s="1"/>
  <c r="A8" i="61" s="1"/>
  <c r="A9" i="61" s="1"/>
  <c r="A10" i="61" s="1"/>
  <c r="A11" i="61" s="1"/>
  <c r="A12" i="61" s="1"/>
  <c r="A13" i="61" s="1"/>
  <c r="A14" i="61" s="1"/>
  <c r="A15" i="61" s="1"/>
  <c r="A16" i="61" s="1"/>
  <c r="A17" i="61" s="1"/>
  <c r="A18" i="61" s="1"/>
  <c r="D75" i="11" l="1"/>
  <c r="D62" i="11"/>
  <c r="A22" i="61" l="1"/>
  <c r="A23" i="61" s="1"/>
  <c r="A24" i="61" s="1"/>
  <c r="A25" i="61" s="1"/>
  <c r="A26" i="61" s="1"/>
  <c r="A27" i="61" s="1"/>
  <c r="A28" i="61" s="1"/>
  <c r="A29" i="61" s="1"/>
  <c r="A30" i="61" s="1"/>
  <c r="A31" i="61" s="1"/>
  <c r="A6" i="60" l="1"/>
  <c r="A7" i="60" s="1"/>
  <c r="A8" i="60" s="1"/>
  <c r="A9" i="60" s="1"/>
  <c r="A10" i="60" s="1"/>
  <c r="A11" i="60" s="1"/>
  <c r="A12" i="60" s="1"/>
  <c r="A13" i="60" s="1"/>
  <c r="A14" i="60" s="1"/>
  <c r="A15" i="60" s="1"/>
  <c r="A16" i="60" s="1"/>
  <c r="A17" i="60" s="1"/>
  <c r="A18" i="60" s="1"/>
  <c r="A19" i="60" s="1"/>
  <c r="A20" i="60" s="1"/>
  <c r="A21" i="60" s="1"/>
  <c r="A22" i="60" s="1"/>
  <c r="A23" i="60" s="1"/>
  <c r="A24" i="60" s="1"/>
  <c r="A25" i="60" s="1"/>
  <c r="A26" i="60" s="1"/>
  <c r="A27" i="60" s="1"/>
  <c r="A28" i="60" s="1"/>
  <c r="A29" i="60" s="1"/>
  <c r="A30" i="60" s="1"/>
  <c r="A31" i="60" s="1"/>
  <c r="A32" i="60" s="1"/>
  <c r="A33" i="60" s="1"/>
  <c r="E62" i="11" l="1"/>
  <c r="E107" i="11" l="1"/>
  <c r="D102" i="11"/>
  <c r="D94" i="11" s="1"/>
  <c r="D28" i="11"/>
  <c r="E51" i="11" l="1"/>
  <c r="C36" i="11"/>
  <c r="C34" i="11"/>
  <c r="C33" i="11"/>
  <c r="C37" i="11"/>
  <c r="C38" i="11"/>
  <c r="C40" i="11"/>
  <c r="C39" i="11"/>
  <c r="C35" i="11"/>
  <c r="E52" i="11" l="1"/>
  <c r="E54" i="11" s="1"/>
  <c r="D13" i="2"/>
  <c r="D12" i="2"/>
  <c r="D11" i="2"/>
  <c r="D10" i="2"/>
  <c r="D9" i="2"/>
  <c r="D8" i="2"/>
  <c r="E106" i="11" l="1"/>
  <c r="E84" i="11"/>
  <c r="C66" i="11" l="1"/>
  <c r="E66" i="11" s="1"/>
  <c r="C65" i="11"/>
  <c r="E65" i="11" s="1"/>
  <c r="E74" i="11"/>
  <c r="E75" i="11" s="1"/>
  <c r="C69" i="11"/>
  <c r="E69" i="11" s="1"/>
  <c r="C67" i="11"/>
  <c r="E67" i="11" s="1"/>
  <c r="C70" i="11"/>
  <c r="E70" i="11" s="1"/>
  <c r="E88" i="11"/>
  <c r="C68" i="11"/>
  <c r="E68" i="11" s="1"/>
  <c r="E71" i="11" l="1"/>
  <c r="E109" i="11"/>
  <c r="E78" i="11" l="1"/>
  <c r="E80" i="11" s="1"/>
  <c r="E81" i="11"/>
  <c r="E108" i="11" l="1"/>
  <c r="E110" i="11" s="1"/>
  <c r="E89" i="11"/>
  <c r="C92" i="11" l="1"/>
  <c r="E92" i="11" s="1"/>
  <c r="C93" i="11" s="1"/>
  <c r="E93" i="11" s="1"/>
  <c r="E94" i="11" s="1"/>
  <c r="E95" i="11" s="1"/>
  <c r="C97" i="11" l="1"/>
  <c r="E97" i="11" s="1"/>
  <c r="C98" i="11"/>
  <c r="E98" i="11" s="1"/>
  <c r="C101" i="11"/>
  <c r="E101" i="11" s="1"/>
  <c r="E102" i="11" l="1"/>
  <c r="E103" i="11" s="1"/>
  <c r="E111" i="11" s="1"/>
  <c r="E112" i="11" s="1"/>
  <c r="J5" i="57" l="1"/>
  <c r="K5" i="57" s="1"/>
  <c r="K6" i="57" s="1"/>
  <c r="F6" i="9" s="1"/>
  <c r="G6" i="9" s="1"/>
  <c r="H6" i="9" s="1"/>
  <c r="D10" i="57"/>
  <c r="E10" i="57" s="1"/>
  <c r="E11" i="57" s="1"/>
  <c r="F5" i="9" s="1"/>
  <c r="G5" i="9" s="1"/>
  <c r="H5" i="9" s="1"/>
  <c r="D5" i="57"/>
  <c r="E5" i="57" s="1"/>
  <c r="E6" i="57" s="1"/>
  <c r="F4" i="9" s="1"/>
  <c r="G4" i="9" s="1"/>
  <c r="G7" i="9" l="1"/>
  <c r="H4" i="9"/>
  <c r="H7" i="9" s="1"/>
</calcChain>
</file>

<file path=xl/sharedStrings.xml><?xml version="1.0" encoding="utf-8"?>
<sst xmlns="http://schemas.openxmlformats.org/spreadsheetml/2006/main" count="579" uniqueCount="368">
  <si>
    <t>A</t>
  </si>
  <si>
    <t>Data de apresentação da proposta (mês/ano)</t>
  </si>
  <si>
    <t>B</t>
  </si>
  <si>
    <t>C</t>
  </si>
  <si>
    <t>Ano Acordo, Convenção ou Sentença Normativa em Dissídio Coletivo</t>
  </si>
  <si>
    <t>D</t>
  </si>
  <si>
    <t>Identificação do Serviço</t>
  </si>
  <si>
    <t>Anexo III-A – Mão-de-obra</t>
  </si>
  <si>
    <t>Mão-de-obra vinculada à execução contratual</t>
  </si>
  <si>
    <t>Dados complementares para composição dos custos referente à mão-de-obra</t>
  </si>
  <si>
    <t>Valor (R$)</t>
  </si>
  <si>
    <t>Salário Normativo da Categoria Profissional</t>
  </si>
  <si>
    <t>Categoria profissional (vinculada à execução contratual)</t>
  </si>
  <si>
    <t>Data base da categoria (dia/mês/ano)</t>
  </si>
  <si>
    <t>MÓDULO 1 : COMPOSIÇÃO DA REMUNERAÇÃO</t>
  </si>
  <si>
    <t>Composição da Remuneração</t>
  </si>
  <si>
    <t>Salário</t>
  </si>
  <si>
    <t>Adicional de Periculosidade</t>
  </si>
  <si>
    <t>30% sobre o salário</t>
  </si>
  <si>
    <t>Adicional de Insalubridade</t>
  </si>
  <si>
    <t>Adicional Noturno</t>
  </si>
  <si>
    <t>20% sobre  a hora diurna</t>
  </si>
  <si>
    <t>E</t>
  </si>
  <si>
    <t>H. Extra (+50%) ou H. Normal + 20% de adiconal</t>
  </si>
  <si>
    <t>F</t>
  </si>
  <si>
    <t>G</t>
  </si>
  <si>
    <t>TOTAL DE BENEFÍCIOS MENSAIS E DIÁRIOS</t>
  </si>
  <si>
    <t>Insumos Diversos</t>
  </si>
  <si>
    <t>4.1</t>
  </si>
  <si>
    <t>Encargos previdenciários e FGTS</t>
  </si>
  <si>
    <t>H</t>
  </si>
  <si>
    <t>TOTAL</t>
  </si>
  <si>
    <t>4.2</t>
  </si>
  <si>
    <t>13 º Salário</t>
  </si>
  <si>
    <t>Provisão para Rescisão</t>
  </si>
  <si>
    <t>Aviso prévio indenizado</t>
  </si>
  <si>
    <r>
      <t>Incidência do FGTS sobre aviso prévio indenizado (8%)</t>
    </r>
    <r>
      <rPr>
        <i/>
        <sz val="10"/>
        <color rgb="FF002060"/>
        <rFont val="Calibri"/>
        <family val="2"/>
        <scheme val="minor"/>
      </rPr>
      <t/>
    </r>
  </si>
  <si>
    <t>Aviso prévio trabalhado</t>
  </si>
  <si>
    <t>Custos Indiretos, Tributos e Lucro</t>
  </si>
  <si>
    <t>Custos Indiretos</t>
  </si>
  <si>
    <t>Lucro (MT + M5.A)</t>
  </si>
  <si>
    <t>Tributos</t>
  </si>
  <si>
    <t>C1. Tributos Federais</t>
  </si>
  <si>
    <t>C.2 Tributos Estaduais (especificar)</t>
  </si>
  <si>
    <t xml:space="preserve">C.3 Tributos Municipais </t>
  </si>
  <si>
    <t>TOTAL DOS TRIBUTOS</t>
  </si>
  <si>
    <t>TOTAL DOS CUSTOS INDIRETOS, TRIBUTOS E LUCRO</t>
  </si>
  <si>
    <t>Mão-de-obra vinculada à execução contratual (valor por empregado)</t>
  </si>
  <si>
    <t>Módulo 1 – Composição da Remuneração</t>
  </si>
  <si>
    <t>VALOR TOTAL POR EMPREGADO</t>
  </si>
  <si>
    <t xml:space="preserve"> MÓDULO 2: BENEFÍCIOS MENSAIS E DIÁRIOS</t>
  </si>
  <si>
    <t>]</t>
  </si>
  <si>
    <t>27/08/2012 - APLICABILIDADE DA LEI Nº 12.506, DE 11 DE OUTUBRO DE 2011</t>
  </si>
  <si>
    <t>AVISO PRÉVIO TRABALHADO</t>
  </si>
  <si>
    <t>COMUNICA</t>
  </si>
  <si>
    <t>Com a publicação da LEI 12.506/2011, ainda que esta não se manifeste sobre a redução da jornada e da proporcionalidade nos dias de falta ao trabalho no caso de aviso prévio trabalhado, poder-se-ia entender que o empregado teria direito à redução de 2 horas diárias, bem como poderia faltar ao trabalho o número de dias proporcionais ao tempo trabalhado.</t>
  </si>
  <si>
    <r>
      <t>ASSIM SENDO, COM A NOVA PREVISÃO LEGAL</t>
    </r>
    <r>
      <rPr>
        <b/>
        <sz val="8"/>
        <color rgb="FFFF0000"/>
        <rFont val="Verdana"/>
        <family val="2"/>
      </rPr>
      <t>, HAVERÁ NECESSIDADE DE MODIFICAÇÃO NA METODOLOGIA ATÉ ENTÃO ADOTADA PARA PRORROGAÇÃO DOS CONTRATOS DE PRESTAÇÃO DE SERVIÇOS COM ALOCAÇÃO DE MÃO DE OBRA. NESSE CASO, O VALOR PREVISTO A TÍTULO DE AVISO PRÉVIO DEVERÁ CONSIDERAR 3 (TRÊS) DIAS PARA CADA ANO DE PRORROGAÇÃO, ATÉ O LIMITE DE 12 (DOZE) DIAS, PERFAZENDO UM TOTAL DE 42 (QUARENTA E DOIS) DIAS</t>
    </r>
    <r>
      <rPr>
        <sz val="8"/>
        <color rgb="FF000000"/>
        <rFont val="Verdana"/>
        <family val="2"/>
      </rPr>
      <t>, VISTO QUE O INCISO II DO ART. 57 DA LEI N° 8.666, DE 21 DE JUNHO DE 1993, PERMITE QUE OS CONTRATOS DE PRESTAÇÃO DE SERVIÇOS CONTINUADOS SEJAM PRORROGADOS ATÉ UM LIMITE DE SESSENTA MESES, CASO OS PREÇOS E CONDIÇÕES SEJAM MAIS VANTAJOSOS PARA A ADMINISTRAÇÃO. DESSA FORMA, A METODOLOGIA REFLETIRÁ O PRAZO DE AVISO PRÉVIO QUE O EMPREGADO ACUMULA NO PRIMEIRO ANO E NOS SEGUINTES DO CONTRATO.</t>
    </r>
  </si>
  <si>
    <t>Aviso Prévio Trabalhado - Demissão Sem Justa Causa</t>
  </si>
  <si>
    <t>BRASÍLIA-DF, 15 DE AGOSTO DE 2012</t>
  </si>
  <si>
    <t>Tempo Trabalhado</t>
  </si>
  <si>
    <t>Dias de Aviso</t>
  </si>
  <si>
    <t>Faltas ao Trabalho</t>
  </si>
  <si>
    <t>SECRETARIA DE LOGÍSTICA E TECNOLOGIA DA INFORMAÇÃO – SLTI</t>
  </si>
  <si>
    <t>no final do aviso</t>
  </si>
  <si>
    <t>DEPARTAMENTO DE LOGÍSTICA E SERVIÇOS GERAIS – DLSG</t>
  </si>
  <si>
    <t>Até 1 ano</t>
  </si>
  <si>
    <t>COORDENAÇÃO-GERAL DE NORMAS – CGN</t>
  </si>
  <si>
    <t>Até 2 anos</t>
  </si>
  <si>
    <t>Até 3 anos</t>
  </si>
  <si>
    <t>Até 4 anos</t>
  </si>
  <si>
    <t>Até 5 anos</t>
  </si>
  <si>
    <t>Até 6 anos</t>
  </si>
  <si>
    <t>Até 7 anos</t>
  </si>
  <si>
    <t>Até 8 anos</t>
  </si>
  <si>
    <t>Até 9 anos</t>
  </si>
  <si>
    <t>Até 10 anos</t>
  </si>
  <si>
    <t>Até 11 anos</t>
  </si>
  <si>
    <t>Até 12 anos</t>
  </si>
  <si>
    <t>Até 13 anos</t>
  </si>
  <si>
    <t>Até 14 anos</t>
  </si>
  <si>
    <t>Até 15 anos</t>
  </si>
  <si>
    <t>Até 16 anos</t>
  </si>
  <si>
    <t>Até 17 anos</t>
  </si>
  <si>
    <t>Até 18 anos</t>
  </si>
  <si>
    <t>Até 19 anos</t>
  </si>
  <si>
    <t>Até 20 anos</t>
  </si>
  <si>
    <t>A partir de 20 anos</t>
  </si>
  <si>
    <t>VOLTAR PLANILHA PRINCIPAL</t>
  </si>
  <si>
    <r>
      <t>Nota:</t>
    </r>
    <r>
      <rPr>
        <sz val="14"/>
        <color rgb="FF000000"/>
        <rFont val="Calibri"/>
        <family val="2"/>
        <scheme val="minor"/>
      </rPr>
      <t> Entretanto, a lei não especifica que deva aplicar esta proporcionalidade de acordo com o tempo de empresa, porquanto </t>
    </r>
    <r>
      <rPr>
        <b/>
        <u/>
        <sz val="14"/>
        <color rgb="FF000000"/>
        <rFont val="Calibri"/>
        <family val="2"/>
        <scheme val="minor"/>
      </rPr>
      <t>entendemos que a falta ao final do aviso ainda seja de 7 (sete) dias</t>
    </r>
    <r>
      <rPr>
        <sz val="14"/>
        <color rgb="FF000000"/>
        <rFont val="Calibri"/>
        <family val="2"/>
        <scheme val="minor"/>
      </rPr>
      <t>. Já em relação a redução de jornada, </t>
    </r>
    <r>
      <rPr>
        <b/>
        <u/>
        <sz val="14"/>
        <color rgb="FF000000"/>
        <rFont val="Calibri"/>
        <family val="2"/>
        <scheme val="minor"/>
      </rPr>
      <t>entendemos que deva ser de 2 horas independentemente do número de dias</t>
    </r>
    <r>
      <rPr>
        <sz val="14"/>
        <color rgb="FF000000"/>
        <rFont val="Calibri"/>
        <family val="2"/>
        <scheme val="minor"/>
      </rPr>
      <t> de aviso trabalhado.</t>
    </r>
  </si>
  <si>
    <t>Exemplo</t>
  </si>
  <si>
    <t>Empregado (com um ano de emprego) recebeu a comunicação de desligamento em 01.07.2011, optou pela falta ao serviço durante os últimos 7 (sete) dias corridos. Neste caso, considerando o início da contagem dos 30 dias em 02.07.2011 (dia seguinte ao da comunicação), o término do aviso e consequentemente a baixa na CTPS foi em 31.07.2011, embora o mesmo só trabalhe até 24.07.2011.</t>
  </si>
  <si>
    <t>Neste caso, a data de pagamento das verbas rescisórias será o dia seguinte ao término do aviso, ou seja, 01.08.2011.</t>
  </si>
  <si>
    <t>FONTE: www.guiatrabalhista.com.br</t>
  </si>
  <si>
    <t>PRORROGAÇÃO EXECEPCIONAL (§ 4º DO ART. 57 DA LLC)</t>
  </si>
  <si>
    <t>FALTAS LEGAIS</t>
  </si>
  <si>
    <t>Limite de Faltas</t>
  </si>
  <si>
    <t>Motivo</t>
  </si>
  <si>
    <t>Colunas1</t>
  </si>
  <si>
    <t>Colunas2</t>
  </si>
  <si>
    <t>até 2 dias consecutivos</t>
  </si>
  <si>
    <t>Falecimento de cônjuge, ascendente, descendente, irmão ou pessoa que, declarada em sua CTPS, viva sob sua dependência econômica.</t>
  </si>
  <si>
    <t>até 3 dias consecutivos</t>
  </si>
  <si>
    <t>Casamento</t>
  </si>
  <si>
    <t>5 dias, no decorrer da primeira semana</t>
  </si>
  <si>
    <t>Nascimento de Filho (Este inciso fica tacitamente revogado em virtude do inciso XIX do art. 7º da CF/88 que instituiu a Licença-Paternidade e pelo § 1º do Art. 10 da ADCT/88 que fixou o prazo para 5 (cinco) dias.)</t>
  </si>
  <si>
    <t>1 dia em cada 12 meses de trabalho</t>
  </si>
  <si>
    <t>Doação voluntária de sangue devidamente comprovada</t>
  </si>
  <si>
    <t>até 2 dias consecutivos ou não</t>
  </si>
  <si>
    <t>Alistamento eleitoral</t>
  </si>
  <si>
    <t>até 9 dias</t>
  </si>
  <si>
    <t>gala ou luto, em conseqüência de falecimento do cônjuge, do pai ou mãe, ou de filho de professor</t>
  </si>
  <si>
    <t>---</t>
  </si>
  <si>
    <t>Dias em que estiver comprovadamente realizando provas do exame vestibular em estabelecimento de ensino superior</t>
  </si>
  <si>
    <t>No período de tempo em que tiver de cumprir as exigências do Serviço Militar (art. 65 letra "c" da Lei nº 4375/64)</t>
  </si>
  <si>
    <t>Apresentar-se, anualmente, no local e data que forem fixados, para fins de exercício de apresentação das reservas ou cerimônia cívica do Dia do Reservista.</t>
  </si>
  <si>
    <t>Ausências decorrentes de exercícios ou manobras, pelo convocado matriculado em órgão de formação de reserva (art.60 § 4º da Lei º 4375/64)</t>
  </si>
  <si>
    <t>Ausência do empregado, justificada, a critério do empregador</t>
  </si>
  <si>
    <t>Paralisação dos serviços nos dias em que, por conveniência do empregador, não tenha havido trabalho.</t>
  </si>
  <si>
    <t>Falta ao serviço por acidente de trabalho</t>
  </si>
  <si>
    <t>2 semanas</t>
  </si>
  <si>
    <t>Aborto não criminoso, comprovado por atestado médico oficial</t>
  </si>
  <si>
    <t>até 15 dias</t>
  </si>
  <si>
    <t>Doença, devidamente comprovada por atestado médico (1)</t>
  </si>
  <si>
    <t>Comparecimento necessário, como parte, à Justiça do Trabalho</t>
  </si>
  <si>
    <t>Comparecimento para depor na Justiça, quando devidamente arrolado ou convocado como testemunha</t>
  </si>
  <si>
    <t>Comparecimento às sessões do júri, como jurado sorteado</t>
  </si>
  <si>
    <t>Ausências dos representantes dos trabalhadores no Conselho Curador do FGTS, decorrentes de atividades desse órgão</t>
  </si>
  <si>
    <t>Convocação para o serviço eleitoral</t>
  </si>
  <si>
    <t xml:space="preserve"> </t>
  </si>
  <si>
    <t>Tipo de serviço (mesmo serviço com características distintas)</t>
  </si>
  <si>
    <t xml:space="preserve">Assistência médica e familiar </t>
  </si>
  <si>
    <t xml:space="preserve">Auxílio creche </t>
  </si>
  <si>
    <t xml:space="preserve">Seguro de vida </t>
  </si>
  <si>
    <t>Outros</t>
  </si>
  <si>
    <t>INTERVALO INTRAJORNADA</t>
  </si>
  <si>
    <t>DSR INTRAJORNADA</t>
  </si>
  <si>
    <t>ESPECIFICAÇÃO</t>
  </si>
  <si>
    <t>ITEM</t>
  </si>
  <si>
    <t>UND</t>
  </si>
  <si>
    <t>VALOR TOTAL (Mensal)</t>
  </si>
  <si>
    <t>m²</t>
  </si>
  <si>
    <t>2.1</t>
  </si>
  <si>
    <t>2.2</t>
  </si>
  <si>
    <t>1.1.1</t>
  </si>
  <si>
    <t>1.1.2</t>
  </si>
  <si>
    <t>1.1.3</t>
  </si>
  <si>
    <t>Transporte</t>
  </si>
  <si>
    <t>13º Salário, Férias e Adicional de Férias</t>
  </si>
  <si>
    <t>GPS, FGTS e outras contribuições</t>
  </si>
  <si>
    <t>Beneficios diários e mensais</t>
  </si>
  <si>
    <t>Módulo 4 – Custo de Reposição do Profissional Ausente</t>
  </si>
  <si>
    <t>Quadro resumo dos beneficios</t>
  </si>
  <si>
    <t>TOTAL DO MÓDULO 1</t>
  </si>
  <si>
    <t>TOTAL DO MÓDULO 2</t>
  </si>
  <si>
    <t>TOTAL DO MÓDULO 3</t>
  </si>
  <si>
    <t>TOTAL DO MÓDULO 4</t>
  </si>
  <si>
    <t>TOTAL DO MÓDULO 5</t>
  </si>
  <si>
    <t>Módulo 3 – Provisão para Rescisão</t>
  </si>
  <si>
    <t>Módulo 5 – Insumos Diversos</t>
  </si>
  <si>
    <t>Módulo 2 – Encargos e Benefícios Anuais, Mensais e Diários</t>
  </si>
  <si>
    <t>Subtotal (A + B +C+ D+E)</t>
  </si>
  <si>
    <t>Módulo 6 – Custos indiretos, tributos e lucro</t>
  </si>
  <si>
    <t>MÓDULO 3 - PROVISÃO PARA RESCISÃO</t>
  </si>
  <si>
    <t>MÓDULO 4 – CUSTO DE REPOSIÇÃO DO PROFISSIONAL AUSENTE</t>
  </si>
  <si>
    <t>MÓDULO 5 - INSUMOS DIVERSOS</t>
  </si>
  <si>
    <t xml:space="preserve">MÓDULO 6 – CUSTOS INDIRETOS, TRIBUTOS E LUCRO </t>
  </si>
  <si>
    <t xml:space="preserve">ÁREAS HOSPITALARES E ASSEMELHADAS </t>
  </si>
  <si>
    <t>MÃO DE OBRA</t>
  </si>
  <si>
    <t>(2)
PREÇO DO HOMEM-MÊS
(R$)</t>
  </si>
  <si>
    <t>Servente</t>
  </si>
  <si>
    <t>1/350</t>
  </si>
  <si>
    <t>TOTAL:</t>
  </si>
  <si>
    <t>1/550</t>
  </si>
  <si>
    <t>1/450</t>
  </si>
  <si>
    <t>VALOR TOTAL (Anual)</t>
  </si>
  <si>
    <t>UNIFORMES E EPI (POR FUNCIONÁRIO)</t>
  </si>
  <si>
    <t>Ordem</t>
  </si>
  <si>
    <t>Descrição</t>
  </si>
  <si>
    <t>Unidade</t>
  </si>
  <si>
    <t>Quantidade</t>
  </si>
  <si>
    <t>Periodicidade</t>
  </si>
  <si>
    <t>Valor Unitário</t>
  </si>
  <si>
    <t>Par</t>
  </si>
  <si>
    <t>Caixa</t>
  </si>
  <si>
    <t>Avental Impermeável</t>
  </si>
  <si>
    <t>Óculos de proteção</t>
  </si>
  <si>
    <t>TOTAL MENSAL POR SERVENTE</t>
  </si>
  <si>
    <t>Submódulo 2.3 – Beneficios Mensais</t>
  </si>
  <si>
    <t>Rodinha para carrinho MOP</t>
  </si>
  <si>
    <t>MATERIAIS</t>
  </si>
  <si>
    <t>PRODUTIVIDADE</t>
  </si>
  <si>
    <t>ÁREAS</t>
  </si>
  <si>
    <t>Crachá</t>
  </si>
  <si>
    <t>Anual</t>
  </si>
  <si>
    <t>Multa sobre FGTS e Contribuição Social sobre o Aviso Prévio Indenizado e sobre o Aviso Prévio Trabalhado. (Alterado Conf. Lei nº 13.932/2019)</t>
  </si>
  <si>
    <t>Substituto na Cobertura de Férias (1/12 avos)</t>
  </si>
  <si>
    <t>Substituto na Cobertura de Ausências Legais (por doença)</t>
  </si>
  <si>
    <t>Substituto na Cobertura de Licença Paternidade</t>
  </si>
  <si>
    <t>Substituto na Cobertura Por Acidente de Trabalho</t>
  </si>
  <si>
    <t>Substituto na Cobertura de Licença Maternidade</t>
  </si>
  <si>
    <t>Outros  (Especificar)</t>
  </si>
  <si>
    <t>TOTAL DO SUBMÓDULO 4.1</t>
  </si>
  <si>
    <t>Submódulo 4.2 - Intrajornada</t>
  </si>
  <si>
    <t>Intervalo para Repouso ou Alimentação</t>
  </si>
  <si>
    <t>TOTAL DO SUBMÓDULO 4.2</t>
  </si>
  <si>
    <t>BASE DE CÁLCULO</t>
  </si>
  <si>
    <t>Valor Total Anual</t>
  </si>
  <si>
    <t>Valor Total Mensal</t>
  </si>
  <si>
    <t>Capa de chuva</t>
  </si>
  <si>
    <t>Calça</t>
  </si>
  <si>
    <t>Vida Útil (Meses)</t>
  </si>
  <si>
    <t>2.3</t>
  </si>
  <si>
    <t xml:space="preserve">VALOR UNT (M²) </t>
  </si>
  <si>
    <t>Consumo Bimestral</t>
  </si>
  <si>
    <t>Und</t>
  </si>
  <si>
    <t>Rodo</t>
  </si>
  <si>
    <t>Unid.</t>
  </si>
  <si>
    <t>Vassoura de pelo</t>
  </si>
  <si>
    <t>Vassoura de naylon</t>
  </si>
  <si>
    <t>Vassoura p/limpeza de vasos sanitários</t>
  </si>
  <si>
    <t>Balde (15Lt)</t>
  </si>
  <si>
    <t>Vassoura de vasculhar</t>
  </si>
  <si>
    <t>Pá de lixo</t>
  </si>
  <si>
    <t>Mangueiras/ 30 metros</t>
  </si>
  <si>
    <t>Equipamentos</t>
  </si>
  <si>
    <t>Enceradeira industrial /220 w grande</t>
  </si>
  <si>
    <t>Enceradeira industrial /220 w media</t>
  </si>
  <si>
    <t>Carrinho MOP</t>
  </si>
  <si>
    <t>Carrinho de mão</t>
  </si>
  <si>
    <t>Escada portátil</t>
  </si>
  <si>
    <t>Placa de sinalização/ cuidado piso molhado</t>
  </si>
  <si>
    <t>Avental impermeável</t>
  </si>
  <si>
    <t>Extensão / 20 metros</t>
  </si>
  <si>
    <t>Tesoura de grama</t>
  </si>
  <si>
    <t>Enxada</t>
  </si>
  <si>
    <t>Pá para lixo</t>
  </si>
  <si>
    <t>Rastelo</t>
  </si>
  <si>
    <t>Balde p/ carro mop</t>
  </si>
  <si>
    <t>Máquina bico jato</t>
  </si>
  <si>
    <t>Facão</t>
  </si>
  <si>
    <t>Capa para chuva</t>
  </si>
  <si>
    <t>Dispensadores para álcool gel</t>
  </si>
  <si>
    <t>Dispensadores para sabonete líquido (400ml)</t>
  </si>
  <si>
    <t>Dispensadores para papel toalha</t>
  </si>
  <si>
    <t>Dispensadores para papel higiênico</t>
  </si>
  <si>
    <t>Lixeira com tampa/pedal de 30L (lixo comum)</t>
  </si>
  <si>
    <t>Lixeira com tampa/pedal de 50L (lixo comum)</t>
  </si>
  <si>
    <t>Lixeira com tampa/pedal de 100L (lixo comum)</t>
  </si>
  <si>
    <t>Carros de 200L com tampa para transporte interno de Resíduos</t>
  </si>
  <si>
    <t>Contêineres de 360L com tampa para abrigo externo de Resíduos</t>
  </si>
  <si>
    <t>Kits de Lixeira para Reciclagem</t>
  </si>
  <si>
    <t>Kits de Lixeira para Coleta Seletiva</t>
  </si>
  <si>
    <t>Monopersulfato de potássio em pó a 49,4%, diluído a 1%</t>
  </si>
  <si>
    <t>kg.</t>
  </si>
  <si>
    <t>Álcool em gel hidratado 70%</t>
  </si>
  <si>
    <t>Litro.</t>
  </si>
  <si>
    <t>Lts</t>
  </si>
  <si>
    <t>Detergente líquido</t>
  </si>
  <si>
    <t>Esponja de aço (pct. Com 14 embalagens de 08 unid.)</t>
  </si>
  <si>
    <t>Pct.</t>
  </si>
  <si>
    <t>Esponja de limpeza méd. 110 mm x 75mm x 20mm</t>
  </si>
  <si>
    <t>Flanela</t>
  </si>
  <si>
    <t>Limpa vidro</t>
  </si>
  <si>
    <t>Lustra móvel frasco 200ml</t>
  </si>
  <si>
    <t>Pano de chão</t>
  </si>
  <si>
    <t>Papel higiênico em rolo de 300 metros</t>
  </si>
  <si>
    <t>Toalha de papel 23 cm x 23cm (529 cm2 por folha) pct com 1000 folhas</t>
  </si>
  <si>
    <t>Sabonete líquido</t>
  </si>
  <si>
    <t>Sabonete líquido em refil inviolável</t>
  </si>
  <si>
    <t>Removedor</t>
  </si>
  <si>
    <t>Cera incolor</t>
  </si>
  <si>
    <t>Palha de Aço</t>
  </si>
  <si>
    <t>Refil Mops</t>
  </si>
  <si>
    <t>Oleo 3TP para Gasolina</t>
  </si>
  <si>
    <t>Rolamento para enceradeira</t>
  </si>
  <si>
    <t>Sabão em Barra</t>
  </si>
  <si>
    <t>Sabão em Pó</t>
  </si>
  <si>
    <t>Sóda Cáustica</t>
  </si>
  <si>
    <t>Lâmina para cortar grama</t>
  </si>
  <si>
    <t>Escova para maquina de lavar piso - Grande</t>
  </si>
  <si>
    <t>Escova para maquina de lavar piso - Media</t>
  </si>
  <si>
    <t>Escova Naylon 40mm</t>
  </si>
  <si>
    <t>Sacos de Lixo Preto 30L</t>
  </si>
  <si>
    <t>Sacos de Lixo Preto 40L</t>
  </si>
  <si>
    <t>Sacos de Lixo Preto 100L</t>
  </si>
  <si>
    <t>Sacos de Lixo Preto 120L</t>
  </si>
  <si>
    <t>Hipoclorito de Sódio a 1%</t>
  </si>
  <si>
    <t>Litros</t>
  </si>
  <si>
    <t>Gasolina</t>
  </si>
  <si>
    <t>Aromatizador/Odorizador de Ambiente Aerossol</t>
  </si>
  <si>
    <t>Jaleco manga longa</t>
  </si>
  <si>
    <t>Par de botas de borracha</t>
  </si>
  <si>
    <t xml:space="preserve">Material Permanente </t>
  </si>
  <si>
    <t>Consumo Semestral</t>
  </si>
  <si>
    <t xml:space="preserve">INFORMAÇÃO: </t>
  </si>
  <si>
    <r>
      <t>N</t>
    </r>
    <r>
      <rPr>
        <strike/>
        <sz val="11"/>
        <rFont val="Calibri"/>
        <family val="2"/>
        <scheme val="minor"/>
      </rPr>
      <t>º</t>
    </r>
    <r>
      <rPr>
        <sz val="11"/>
        <rFont val="Calibri"/>
        <family val="2"/>
        <scheme val="minor"/>
      </rPr>
      <t xml:space="preserve"> de meses de execução contratual</t>
    </r>
  </si>
  <si>
    <r>
      <t>(1)
PRODUTIVIDADE
(1/M</t>
    </r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>)</t>
    </r>
  </si>
  <si>
    <r>
      <t>(1x2)
SUBTOTAL
(R$/M</t>
    </r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>)</t>
    </r>
  </si>
  <si>
    <t>Adicional de Hora Noturna Reduzida</t>
  </si>
  <si>
    <t>DÉCIMO TERCEIRO SALÁRIO, FÉRIAS E ADICIONAL DE FÉRIAS</t>
  </si>
  <si>
    <t xml:space="preserve">FGTS (8,0%) </t>
  </si>
  <si>
    <t>SEBRAE</t>
  </si>
  <si>
    <t xml:space="preserve">Base de cálculo: De acordo com a instrução normativa nº 05/2017 anexo VII nota 3, a base de cálculo neste módulo deverá ser a soma: MÓDULO 1 + SUBMÓDULO 2.1. </t>
  </si>
  <si>
    <t xml:space="preserve">BENEFÍCIOS MENSAIS E DIÁRIOS </t>
  </si>
  <si>
    <t xml:space="preserve">Auxílio alimentação </t>
  </si>
  <si>
    <t>3.0</t>
  </si>
  <si>
    <t>Incidência do submódulo 2.2 sobre aviso prévio trabalhado (39,80% sobre o valor do Aviso Prévio Trabalhado)</t>
  </si>
  <si>
    <t>Submódulo 4.1 - Ausências Legais</t>
  </si>
  <si>
    <t xml:space="preserve"> QUADRO-RESUMO DO MÓDULO 4 - CUSTO DE REPOSIÇÃO DO PROFISSIONAL AUSENTE</t>
  </si>
  <si>
    <t>Módulo 4 – Encargos sociais e trabalhistas</t>
  </si>
  <si>
    <t>Uniformes e EPIs</t>
  </si>
  <si>
    <t>Materiais</t>
  </si>
  <si>
    <t>(M-T)      CUSTO TOTAL DA PLANILHA PARA EFEITO DE CÁLCULO DO MÓDULO 5 (M1+M2+M3+M4+M5)</t>
  </si>
  <si>
    <t>Subtotal  para   efeito  de  cálculo  dos Tributos  (MT + MA + MB) FATURAMENTO [(100-8,65)/100]</t>
  </si>
  <si>
    <t>Áreas não críticas</t>
  </si>
  <si>
    <t>Áreas críticas</t>
  </si>
  <si>
    <t>Áreas Semi-Críticas</t>
  </si>
  <si>
    <t>Luvas de borracha com Certificado de aprovação</t>
  </si>
  <si>
    <t>Máscara cirúrgica cx com 50 unidades</t>
  </si>
  <si>
    <t>Máscara N95</t>
  </si>
  <si>
    <t>cx</t>
  </si>
  <si>
    <t>Cx</t>
  </si>
  <si>
    <t>Lixeira com tampa/pedal de 60L (lixo comum)</t>
  </si>
  <si>
    <t>VALOR TOTAL :</t>
  </si>
  <si>
    <t>luvas grossas de borracha de cano longo</t>
  </si>
  <si>
    <t>EQUIPAMENTOS</t>
  </si>
  <si>
    <t>Auxiliar de Limpeza</t>
  </si>
  <si>
    <t>Higienização,
Limpeza, Desinfecção e manejo interno de resíduos do Grupo "D"</t>
  </si>
  <si>
    <t>SERVIÇO HIGIENIZAÇÃO, LIMPEZA, DESINFECÇÃO E MANEJO INTERNO DE RESÍDUOS DO GRUPO "D"</t>
  </si>
  <si>
    <t>Gorro descartável</t>
  </si>
  <si>
    <t>Máscara cirúrgica caixa c/ 100 unidades</t>
  </si>
  <si>
    <t>40% * 1.412,00</t>
  </si>
  <si>
    <t>Luva Raspa</t>
  </si>
  <si>
    <r>
      <rPr>
        <b/>
        <sz val="11"/>
        <rFont val="Calibri"/>
        <family val="2"/>
        <scheme val="minor"/>
      </rPr>
      <t>INSS</t>
    </r>
    <r>
      <rPr>
        <sz val="11"/>
        <rFont val="Calibri"/>
        <family val="2"/>
        <scheme val="minor"/>
      </rPr>
      <t xml:space="preserve"> (20%)</t>
    </r>
  </si>
  <si>
    <r>
      <rPr>
        <b/>
        <sz val="11"/>
        <rFont val="Calibri"/>
        <family val="2"/>
        <scheme val="minor"/>
      </rPr>
      <t>SESI OU SESC</t>
    </r>
    <r>
      <rPr>
        <sz val="11"/>
        <rFont val="Calibri"/>
        <family val="2"/>
        <scheme val="minor"/>
      </rPr>
      <t xml:space="preserve"> (1,5%)</t>
    </r>
  </si>
  <si>
    <r>
      <rPr>
        <b/>
        <sz val="11"/>
        <rFont val="Calibri"/>
        <family val="2"/>
        <scheme val="minor"/>
      </rPr>
      <t>SENAI OU SENAC</t>
    </r>
    <r>
      <rPr>
        <sz val="11"/>
        <rFont val="Calibri"/>
        <family val="2"/>
        <scheme val="minor"/>
      </rPr>
      <t xml:space="preserve"> (1,0%)</t>
    </r>
  </si>
  <si>
    <r>
      <rPr>
        <b/>
        <sz val="11"/>
        <rFont val="Calibri"/>
        <family val="2"/>
        <scheme val="minor"/>
      </rPr>
      <t xml:space="preserve">INCRA </t>
    </r>
    <r>
      <rPr>
        <sz val="11"/>
        <rFont val="Calibri"/>
        <family val="2"/>
        <scheme val="minor"/>
      </rPr>
      <t>(0,20% ou  2,7%) - IN nº971, MPS/SRP/2009, Anexo I e II ver código da Tabela</t>
    </r>
  </si>
  <si>
    <r>
      <rPr>
        <b/>
        <sz val="11"/>
        <rFont val="Calibri"/>
        <family val="2"/>
        <scheme val="minor"/>
      </rPr>
      <t>SALÁRIO EDUCAÇÃO</t>
    </r>
    <r>
      <rPr>
        <sz val="11"/>
        <rFont val="Calibri"/>
        <family val="2"/>
        <scheme val="minor"/>
      </rPr>
      <t xml:space="preserve"> (2,5%)</t>
    </r>
  </si>
  <si>
    <r>
      <rPr>
        <b/>
        <sz val="11"/>
        <rFont val="Calibri"/>
        <family val="2"/>
        <scheme val="minor"/>
      </rPr>
      <t>RAT X SAT (Conforme GFIP)</t>
    </r>
    <r>
      <rPr>
        <sz val="11"/>
        <rFont val="Calibri"/>
        <family val="2"/>
        <scheme val="minor"/>
      </rPr>
      <t xml:space="preserve"> (Riscos Ambientais do Trabalho) (Sat/Inss(médio)) (Riscos: Leve 1,0%, Médio 2,0%, Grave 3,0% - veja Decreto 3048/99 - Anexo V (CNAE de 1% a 3% FAP de 0,5 a 2,0)</t>
    </r>
  </si>
  <si>
    <t xml:space="preserve">PLANILHA DE CUSTO </t>
  </si>
  <si>
    <t>RO000094/2024</t>
  </si>
  <si>
    <t>581,85 -(581,85*0,99%)</t>
  </si>
  <si>
    <t>1.618,08*50%*0,0199*2/12</t>
  </si>
  <si>
    <t>Item</t>
  </si>
  <si>
    <t>Discriminação</t>
  </si>
  <si>
    <t>Valor Total (Anual)</t>
  </si>
  <si>
    <t>Valor Total (Mensal)</t>
  </si>
  <si>
    <t>Quantidade (Mensal)</t>
  </si>
  <si>
    <t>Quantidade  (Anual)</t>
  </si>
  <si>
    <t xml:space="preserve">Valor Total </t>
  </si>
  <si>
    <t>Centro de Reabilitação de Rondônia - CERO</t>
  </si>
  <si>
    <t>Desinfetante líquido concentrado - opcional</t>
  </si>
  <si>
    <t>Férias  e Adicional de Férias</t>
  </si>
  <si>
    <t xml:space="preserve">C1. A - PIS </t>
  </si>
  <si>
    <t>C1. B - COFINS</t>
  </si>
  <si>
    <t>C3. A - ISS</t>
  </si>
  <si>
    <t>INFORMAÇÃO :</t>
  </si>
  <si>
    <t>Detergente líquido -  O valor cotado para o referido item foi R$1,51, todavia, o valor corresponde a embalagem com 500 ML, sendo assim, devido o fato de o TR solicitar em embalagem com 1 Litro, o valor unitário corresponde a R$1,51*2 = 3,02.</t>
  </si>
  <si>
    <t>Papel higiênico - O valor cotado para o referido item foi R$32,63, todavia, o valor corresponde a embalgem com 8 rolos, sendo assim, devido o fato de o Adendo estimativa solicitar a unidade, o valor unitário corresponde a R$32,63/8 = 4,08.</t>
  </si>
  <si>
    <t>Removedor -  O valor cotado para o referido item foi R$2,65, todavia, o valor corresponde a embalagem com 500 ML, sendo assim, devido o fato de o TR solicitar em embalagem com 1 Litro, o valor unitário corresponde a R$2,65*2 = 5,30.</t>
  </si>
  <si>
    <t>Máscara cirúrgica cx com 50 unidades - O valor cotado para o referido item foi R$0,18, todavia, o valor corresponde a a embalgem com  1 unidade, sendo assim, devido o fato de o TR solicitar caixa com 50 unidades, o valor unitário corresponde a R$0,18*50 = 9,00.</t>
  </si>
  <si>
    <t>Saco de Lixo Preto 30 L  - O valor cotado para o referido item foi R$10,03, todavia, o valor corresponde a pacote com 100 unidades, sendo assim, devido o fato de o TR solicitar em unidade, o valor unitário corresponde a R$10,03/100 = 0,10.</t>
  </si>
  <si>
    <t>Saco de Lixo Preto 40 L  - O valor cotado para o referido item foi R$11,90, todavia, o valor corresponde a pacote com 100 unidades, sendo assim, devido o fato de o TR solicitar em unidade, o valor unitário corresponde a R$11,90/100 = 0,12.</t>
  </si>
  <si>
    <t>Saco de Lixo Preto 100 L  - O valor cotado para o referido item foi R$24,00, todavia, o valor corresponde a pacote com 100 unidades, sendo assim, devido o fato de o TR solicitar em unidade, o valor unitário corresponde a R$24,00/100 = 0,24.</t>
  </si>
  <si>
    <t>Saco de Lixo Preto 120 L  - O valor cotado para o referido item foi R$54,00, todavia, o valor corresponde a pacote com 100 unidades, sendo assim, devido o fato de o TR solicitar em unidade, o valor unitário corresponde a R$54,00/50 = 1,08.</t>
  </si>
  <si>
    <t>Cera incolor - O valor cotado para o referido item foi R$12,60, todavia, o valor corresponde a a embalgem com  5 Litros, sendo assim, devido o fato de o TR solicitar embalgem com  1 Litro, o valor unitário corresponde a R$12,60/5 = 2,52.</t>
  </si>
  <si>
    <t>Sabão em Barra - O valor cotado para o referido item foi R$8,70, todavia, o valor corresponde a a embalgem com  5 unidades, sendo assim, devido o fato de o TR solicitar 1 unidade, o valor unitário corresponde a R$8,70/5 = 1,74.</t>
  </si>
  <si>
    <r>
      <t xml:space="preserve">O Termo de Referência traz as seguintes informações:
</t>
    </r>
    <r>
      <rPr>
        <b/>
        <sz val="11"/>
        <rFont val="Calibri"/>
        <family val="2"/>
        <scheme val="minor"/>
      </rPr>
      <t>4.6 Uniformização dos empregados da contratada</t>
    </r>
    <r>
      <rPr>
        <sz val="11"/>
        <color theme="1"/>
        <rFont val="Calibri"/>
        <family val="2"/>
        <scheme val="minor"/>
      </rPr>
      <t xml:space="preserve">
4.6.1. A empresa Contratada deverá fornecer gratuitamente, à mão-de-obra colocada à disposição da SESAU/RO, uniformes e seus complementos (vedada a distribuição de uniformes usados), que deverão ser constituídos das seguintes peças:
4.6.1 Para o Auxiliar de limpeza e Supervisor de limpeza: </t>
    </r>
    <r>
      <rPr>
        <b/>
        <sz val="11"/>
        <color theme="1"/>
        <rFont val="Calibri"/>
        <family val="2"/>
        <scheme val="minor"/>
      </rPr>
      <t>Calça; Jaleco manga longa; Par de botas de borracha.</t>
    </r>
    <r>
      <rPr>
        <sz val="11"/>
        <color theme="1"/>
        <rFont val="Calibri"/>
        <family val="2"/>
        <scheme val="minor"/>
      </rPr>
      <t xml:space="preserve">
</t>
    </r>
    <r>
      <rPr>
        <b/>
        <sz val="11"/>
        <color theme="1"/>
        <rFont val="Calibri"/>
        <family val="2"/>
        <scheme val="minor"/>
      </rPr>
      <t xml:space="preserve">4.19. Equipamentos de proteção a serem utilizados
</t>
    </r>
    <r>
      <rPr>
        <sz val="11"/>
        <color theme="1"/>
        <rFont val="Calibri"/>
        <family val="2"/>
        <scheme val="minor"/>
      </rPr>
      <t>4.19.1. A Contratada fornecerá gratuitamente os equipamentos de proteção individual e coletiva, necessários para execução do objeto deste Termo de Referência.</t>
    </r>
    <r>
      <rPr>
        <b/>
        <sz val="11"/>
        <color theme="1"/>
        <rFont val="Calibri"/>
        <family val="2"/>
        <scheme val="minor"/>
      </rPr>
      <t xml:space="preserve">
</t>
    </r>
    <r>
      <rPr>
        <sz val="11"/>
        <color theme="1"/>
        <rFont val="Calibri"/>
        <family val="2"/>
        <scheme val="minor"/>
      </rPr>
      <t>4.19.2. Equipamento de Proteção Individual (EPI) - tem por finalidade a proteção do indivíduo durante a realização de determinadas tarefas, sendo composto por</t>
    </r>
    <r>
      <rPr>
        <b/>
        <sz val="11"/>
        <color theme="1"/>
        <rFont val="Calibri"/>
        <family val="2"/>
        <scheme val="minor"/>
      </rPr>
      <t xml:space="preserve"> óculos, luvas grossas de borracha de cano longo, botas de borracha, avental impermeável ou não, máscara, gorro descartável, capa de chuva, cintos de segurança para janelas, vidros e outros.</t>
    </r>
    <r>
      <rPr>
        <sz val="11"/>
        <color theme="1"/>
        <rFont val="Calibri"/>
        <family val="2"/>
        <scheme val="minor"/>
      </rPr>
      <t xml:space="preserve"> 
12.1.4. Manter seu pessoal uniformizado, </t>
    </r>
    <r>
      <rPr>
        <b/>
        <sz val="11"/>
        <color theme="1"/>
        <rFont val="Calibri"/>
        <family val="2"/>
        <scheme val="minor"/>
      </rPr>
      <t>identificando-os através de crachás</t>
    </r>
    <r>
      <rPr>
        <sz val="11"/>
        <color theme="1"/>
        <rFont val="Calibri"/>
        <family val="2"/>
        <scheme val="minor"/>
      </rPr>
      <t xml:space="preserve">, e provendo-os dos Equipamentos de Proteção Individual - EPI’s;
Todavia o Termo de Referêncial não apresentou quantitativo para os referidos itens, dessa forma, esse setorial,  a fim de estimar um valor fiel para a contratação, estimou uma quantidade minima a ser disponibilizada pela empresa.
Saliento que foi estimado um item de cada por funcionário anualmente.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</si>
</sst>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0.000%"/>
    <numFmt numFmtId="165" formatCode="&quot;R$&quot;\ #,##0.00"/>
    <numFmt numFmtId="166" formatCode="&quot;R$ &quot;#,##0.00"/>
    <numFmt numFmtId="167" formatCode="0.0000000"/>
    <numFmt numFmtId="168" formatCode="0.00000000"/>
  </numFmts>
  <fonts count="3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u/>
      <sz val="10"/>
      <color indexed="12"/>
      <name val="Arial"/>
      <family val="2"/>
    </font>
    <font>
      <i/>
      <sz val="10"/>
      <color rgb="FF002060"/>
      <name val="Calibri"/>
      <family val="2"/>
      <scheme val="minor"/>
    </font>
    <font>
      <b/>
      <sz val="8"/>
      <color rgb="FF000000"/>
      <name val="Verdana"/>
      <family val="2"/>
    </font>
    <font>
      <b/>
      <sz val="16"/>
      <color rgb="FF002060"/>
      <name val="Calibri"/>
      <family val="2"/>
      <scheme val="minor"/>
    </font>
    <font>
      <sz val="14"/>
      <color theme="1"/>
      <name val="Calibri"/>
      <family val="2"/>
      <scheme val="minor"/>
    </font>
    <font>
      <sz val="8"/>
      <color rgb="FF000000"/>
      <name val="Verdana"/>
      <family val="2"/>
    </font>
    <font>
      <b/>
      <sz val="8"/>
      <color rgb="FFFF0000"/>
      <name val="Verdana"/>
      <family val="2"/>
    </font>
    <font>
      <sz val="14"/>
      <color rgb="FF000000"/>
      <name val="Times New Roman"/>
      <family val="1"/>
    </font>
    <font>
      <sz val="10"/>
      <color rgb="FF000000"/>
      <name val="Verdana"/>
      <family val="2"/>
    </font>
    <font>
      <b/>
      <sz val="14"/>
      <color rgb="FF000000"/>
      <name val="Calibri"/>
      <family val="2"/>
      <scheme val="minor"/>
    </font>
    <font>
      <sz val="14"/>
      <color rgb="FF000000"/>
      <name val="Calibri"/>
      <family val="2"/>
      <scheme val="minor"/>
    </font>
    <font>
      <b/>
      <u/>
      <sz val="14"/>
      <color rgb="FF000000"/>
      <name val="Calibri"/>
      <family val="2"/>
      <scheme val="minor"/>
    </font>
    <font>
      <b/>
      <sz val="14"/>
      <color rgb="FF000000"/>
      <name val="Times New Roman"/>
      <family val="1"/>
    </font>
    <font>
      <b/>
      <sz val="14"/>
      <color indexed="10"/>
      <name val="Arial"/>
      <family val="2"/>
    </font>
    <font>
      <b/>
      <sz val="14"/>
      <color indexed="48"/>
      <name val="Trebuchet MS"/>
      <family val="2"/>
    </font>
    <font>
      <b/>
      <sz val="14"/>
      <color indexed="10"/>
      <name val="Trebuchet MS"/>
      <family val="2"/>
    </font>
    <font>
      <sz val="12"/>
      <name val="Times New Roman"/>
      <family val="1"/>
    </font>
    <font>
      <b/>
      <sz val="12"/>
      <name val="Times New Roman"/>
      <family val="1"/>
    </font>
    <font>
      <sz val="10"/>
      <name val="Times New Roman"/>
      <family val="1"/>
    </font>
    <font>
      <b/>
      <i/>
      <sz val="10"/>
      <name val="Times New Roman"/>
      <family val="1"/>
    </font>
    <font>
      <sz val="8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1"/>
      <name val="Calibri"/>
      <family val="2"/>
      <scheme val="minor"/>
    </font>
    <font>
      <b/>
      <sz val="11"/>
      <color theme="0"/>
      <name val="Calibri"/>
      <family val="2"/>
      <scheme val="minor"/>
    </font>
    <font>
      <strike/>
      <sz val="11"/>
      <name val="Calibri"/>
      <family val="2"/>
      <scheme val="minor"/>
    </font>
    <font>
      <u/>
      <sz val="11"/>
      <name val="Calibri"/>
      <family val="2"/>
      <scheme val="minor"/>
    </font>
    <font>
      <b/>
      <sz val="11"/>
      <color indexed="8"/>
      <name val="Calibri"/>
      <family val="2"/>
      <scheme val="minor"/>
    </font>
    <font>
      <vertAlign val="superscript"/>
      <sz val="11"/>
      <name val="Calibri"/>
      <family val="2"/>
      <scheme val="minor"/>
    </font>
    <font>
      <b/>
      <sz val="11"/>
      <color indexed="1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0"/>
      <color rgb="FF000000"/>
      <name val="Times New Roman"/>
      <family val="1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2" tint="-0.249977111117893"/>
        <bgColor indexed="64"/>
      </patternFill>
    </fill>
  </fills>
  <borders count="5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5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0" fontId="3" fillId="0" borderId="0"/>
    <xf numFmtId="0" fontId="1" fillId="0" borderId="0"/>
    <xf numFmtId="0" fontId="4" fillId="0" borderId="0" applyNumberFormat="0" applyFill="0" applyBorder="0" applyAlignment="0" applyProtection="0">
      <alignment vertical="top"/>
      <protection locked="0"/>
    </xf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7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7" fillId="0" borderId="0"/>
    <xf numFmtId="0" fontId="37" fillId="0" borderId="0"/>
  </cellStyleXfs>
  <cellXfs count="421">
    <xf numFmtId="0" fontId="0" fillId="0" borderId="0" xfId="0"/>
    <xf numFmtId="0" fontId="6" fillId="2" borderId="14" xfId="0" applyFont="1" applyFill="1" applyBorder="1" applyAlignment="1">
      <alignment wrapText="1"/>
    </xf>
    <xf numFmtId="0" fontId="6" fillId="2" borderId="15" xfId="0" applyFont="1" applyFill="1" applyBorder="1" applyAlignment="1">
      <alignment horizontal="center" wrapText="1"/>
    </xf>
    <xf numFmtId="0" fontId="8" fillId="0" borderId="0" xfId="0" applyFont="1" applyAlignment="1">
      <alignment horizontal="justify"/>
    </xf>
    <xf numFmtId="0" fontId="9" fillId="2" borderId="15" xfId="0" applyFont="1" applyFill="1" applyBorder="1" applyAlignment="1">
      <alignment horizontal="justify" wrapText="1"/>
    </xf>
    <xf numFmtId="0" fontId="11" fillId="0" borderId="0" xfId="0" applyFont="1" applyAlignment="1">
      <alignment horizontal="justify" wrapText="1"/>
    </xf>
    <xf numFmtId="0" fontId="12" fillId="2" borderId="15" xfId="0" applyFont="1" applyFill="1" applyBorder="1" applyAlignment="1">
      <alignment horizontal="center" wrapText="1"/>
    </xf>
    <xf numFmtId="0" fontId="9" fillId="2" borderId="15" xfId="0" applyFont="1" applyFill="1" applyBorder="1" applyAlignment="1">
      <alignment horizontal="center" wrapText="1"/>
    </xf>
    <xf numFmtId="0" fontId="0" fillId="0" borderId="14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4" xfId="0" applyBorder="1"/>
    <xf numFmtId="0" fontId="9" fillId="2" borderId="16" xfId="0" applyFont="1" applyFill="1" applyBorder="1" applyAlignment="1">
      <alignment horizontal="center" wrapText="1"/>
    </xf>
    <xf numFmtId="0" fontId="0" fillId="0" borderId="15" xfId="0" applyBorder="1"/>
    <xf numFmtId="0" fontId="0" fillId="0" borderId="15" xfId="0" applyBorder="1" applyAlignment="1">
      <alignment horizontal="center"/>
    </xf>
    <xf numFmtId="0" fontId="0" fillId="3" borderId="15" xfId="0" applyFill="1" applyBorder="1"/>
    <xf numFmtId="0" fontId="0" fillId="3" borderId="15" xfId="0" applyFill="1" applyBorder="1" applyAlignment="1">
      <alignment horizontal="center"/>
    </xf>
    <xf numFmtId="0" fontId="0" fillId="0" borderId="16" xfId="0" applyBorder="1"/>
    <xf numFmtId="0" fontId="4" fillId="0" borderId="0" xfId="6" applyAlignment="1" applyProtection="1"/>
    <xf numFmtId="0" fontId="16" fillId="0" borderId="0" xfId="0" applyFont="1" applyAlignment="1">
      <alignment horizontal="center" wrapText="1"/>
    </xf>
    <xf numFmtId="0" fontId="2" fillId="0" borderId="0" xfId="0" applyFont="1"/>
    <xf numFmtId="0" fontId="8" fillId="0" borderId="0" xfId="0" applyFont="1"/>
    <xf numFmtId="0" fontId="18" fillId="0" borderId="17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justify" vertical="center" wrapText="1"/>
    </xf>
    <xf numFmtId="0" fontId="19" fillId="0" borderId="19" xfId="0" applyFont="1" applyBorder="1" applyAlignment="1">
      <alignment horizontal="justify" vertical="center" wrapText="1"/>
    </xf>
    <xf numFmtId="0" fontId="19" fillId="0" borderId="13" xfId="0" applyFont="1" applyBorder="1" applyAlignment="1">
      <alignment horizontal="justify" vertical="center" wrapText="1"/>
    </xf>
    <xf numFmtId="0" fontId="19" fillId="0" borderId="12" xfId="0" applyFont="1" applyBorder="1" applyAlignment="1">
      <alignment horizontal="justify" vertical="center" wrapText="1"/>
    </xf>
    <xf numFmtId="0" fontId="19" fillId="0" borderId="20" xfId="0" applyFont="1" applyBorder="1" applyAlignment="1">
      <alignment horizontal="justify" vertical="center" wrapText="1"/>
    </xf>
    <xf numFmtId="0" fontId="19" fillId="0" borderId="21" xfId="0" applyFont="1" applyBorder="1" applyAlignment="1">
      <alignment horizontal="justify" vertical="center" wrapText="1"/>
    </xf>
    <xf numFmtId="0" fontId="22" fillId="0" borderId="0" xfId="0" applyFont="1" applyAlignment="1">
      <alignment horizontal="center" vertical="center"/>
    </xf>
    <xf numFmtId="0" fontId="22" fillId="0" borderId="0" xfId="0" applyFont="1" applyAlignment="1">
      <alignment vertical="center"/>
    </xf>
    <xf numFmtId="0" fontId="22" fillId="0" borderId="0" xfId="0" applyFont="1" applyAlignment="1">
      <alignment horizontal="left" vertical="center"/>
    </xf>
    <xf numFmtId="44" fontId="22" fillId="0" borderId="0" xfId="0" applyNumberFormat="1" applyFont="1" applyAlignment="1">
      <alignment vertical="center"/>
    </xf>
    <xf numFmtId="0" fontId="23" fillId="0" borderId="0" xfId="0" applyFont="1" applyAlignment="1">
      <alignment horizontal="right" vertical="center"/>
    </xf>
    <xf numFmtId="0" fontId="20" fillId="0" borderId="0" xfId="0" applyFont="1" applyAlignment="1">
      <alignment vertical="center"/>
    </xf>
    <xf numFmtId="0" fontId="20" fillId="0" borderId="0" xfId="0" applyFont="1" applyAlignment="1">
      <alignment horizontal="center" vertical="center"/>
    </xf>
    <xf numFmtId="0" fontId="21" fillId="0" borderId="0" xfId="0" applyFont="1" applyAlignment="1">
      <alignment vertical="center"/>
    </xf>
    <xf numFmtId="0" fontId="20" fillId="0" borderId="0" xfId="0" applyFont="1" applyAlignment="1">
      <alignment horizontal="justify" vertical="center"/>
    </xf>
    <xf numFmtId="164" fontId="21" fillId="0" borderId="0" xfId="2" applyNumberFormat="1" applyFont="1" applyFill="1" applyBorder="1" applyAlignment="1">
      <alignment vertical="center"/>
    </xf>
    <xf numFmtId="4" fontId="20" fillId="0" borderId="0" xfId="0" applyNumberFormat="1" applyFont="1" applyAlignment="1">
      <alignment horizontal="right" vertical="center"/>
    </xf>
    <xf numFmtId="4" fontId="20" fillId="0" borderId="0" xfId="0" applyNumberFormat="1" applyFont="1" applyAlignment="1">
      <alignment horizontal="justify" vertical="center"/>
    </xf>
    <xf numFmtId="4" fontId="20" fillId="0" borderId="0" xfId="2" applyNumberFormat="1" applyFont="1" applyFill="1" applyBorder="1" applyAlignment="1">
      <alignment vertical="center"/>
    </xf>
    <xf numFmtId="44" fontId="20" fillId="0" borderId="0" xfId="1" applyFont="1" applyFill="1" applyBorder="1" applyAlignment="1">
      <alignment horizontal="justify" vertical="center"/>
    </xf>
    <xf numFmtId="4" fontId="20" fillId="0" borderId="0" xfId="0" applyNumberFormat="1" applyFont="1" applyAlignment="1">
      <alignment vertical="center"/>
    </xf>
    <xf numFmtId="4" fontId="22" fillId="0" borderId="0" xfId="0" applyNumberFormat="1" applyFont="1" applyAlignment="1">
      <alignment vertical="center"/>
    </xf>
    <xf numFmtId="43" fontId="22" fillId="0" borderId="0" xfId="7" applyFont="1" applyFill="1" applyAlignment="1">
      <alignment horizontal="center" vertical="center"/>
    </xf>
    <xf numFmtId="43" fontId="22" fillId="0" borderId="0" xfId="7" applyFont="1" applyFill="1" applyBorder="1" applyAlignment="1">
      <alignment horizontal="center" vertical="center"/>
    </xf>
    <xf numFmtId="0" fontId="20" fillId="2" borderId="0" xfId="0" applyFont="1" applyFill="1" applyAlignment="1">
      <alignment vertical="center"/>
    </xf>
    <xf numFmtId="0" fontId="21" fillId="2" borderId="0" xfId="0" applyFont="1" applyFill="1" applyAlignment="1">
      <alignment vertical="center"/>
    </xf>
    <xf numFmtId="0" fontId="26" fillId="0" borderId="4" xfId="0" applyFont="1" applyBorder="1" applyAlignment="1">
      <alignment horizontal="center" vertical="center" wrapText="1"/>
    </xf>
    <xf numFmtId="4" fontId="25" fillId="0" borderId="4" xfId="0" applyNumberFormat="1" applyFont="1" applyBorder="1" applyAlignment="1">
      <alignment horizontal="center" vertical="center"/>
    </xf>
    <xf numFmtId="4" fontId="25" fillId="2" borderId="4" xfId="5" applyNumberFormat="1" applyFont="1" applyFill="1" applyBorder="1" applyAlignment="1">
      <alignment horizontal="center" vertical="center" wrapText="1"/>
    </xf>
    <xf numFmtId="0" fontId="25" fillId="2" borderId="15" xfId="0" applyFont="1" applyFill="1" applyBorder="1" applyAlignment="1">
      <alignment horizontal="center" vertical="center" wrapText="1"/>
    </xf>
    <xf numFmtId="0" fontId="25" fillId="2" borderId="27" xfId="0" applyFont="1" applyFill="1" applyBorder="1" applyAlignment="1">
      <alignment horizontal="center" vertical="center"/>
    </xf>
    <xf numFmtId="0" fontId="25" fillId="2" borderId="4" xfId="3" applyFont="1" applyFill="1" applyBorder="1" applyAlignment="1">
      <alignment horizontal="right" vertical="center" wrapText="1"/>
    </xf>
    <xf numFmtId="0" fontId="25" fillId="2" borderId="4" xfId="4" applyFont="1" applyFill="1" applyBorder="1" applyAlignment="1">
      <alignment horizontal="justify" vertical="center" wrapText="1"/>
    </xf>
    <xf numFmtId="0" fontId="25" fillId="2" borderId="4" xfId="0" applyFont="1" applyFill="1" applyBorder="1" applyAlignment="1">
      <alignment horizontal="justify" vertical="center"/>
    </xf>
    <xf numFmtId="0" fontId="26" fillId="2" borderId="27" xfId="5" applyFont="1" applyFill="1" applyBorder="1" applyAlignment="1">
      <alignment horizontal="center" vertical="center" wrapText="1"/>
    </xf>
    <xf numFmtId="0" fontId="25" fillId="2" borderId="27" xfId="0" applyFont="1" applyFill="1" applyBorder="1" applyAlignment="1">
      <alignment horizontal="center" vertical="center" wrapText="1"/>
    </xf>
    <xf numFmtId="0" fontId="26" fillId="0" borderId="1" xfId="5" applyFont="1" applyBorder="1" applyAlignment="1">
      <alignment vertical="center" wrapText="1"/>
    </xf>
    <xf numFmtId="0" fontId="25" fillId="0" borderId="27" xfId="5" applyFont="1" applyBorder="1" applyAlignment="1">
      <alignment horizontal="center" vertical="center" wrapText="1"/>
    </xf>
    <xf numFmtId="0" fontId="25" fillId="0" borderId="4" xfId="5" applyFont="1" applyBorder="1" applyAlignment="1">
      <alignment vertical="center" wrapText="1"/>
    </xf>
    <xf numFmtId="0" fontId="25" fillId="0" borderId="3" xfId="0" applyFont="1" applyBorder="1" applyAlignment="1">
      <alignment vertical="center" wrapText="1"/>
    </xf>
    <xf numFmtId="0" fontId="25" fillId="0" borderId="4" xfId="0" applyFont="1" applyBorder="1" applyAlignment="1">
      <alignment vertical="center"/>
    </xf>
    <xf numFmtId="10" fontId="25" fillId="0" borderId="4" xfId="2" applyNumberFormat="1" applyFont="1" applyFill="1" applyBorder="1" applyAlignment="1">
      <alignment horizontal="center" vertical="center"/>
    </xf>
    <xf numFmtId="0" fontId="25" fillId="2" borderId="4" xfId="5" applyFont="1" applyFill="1" applyBorder="1" applyAlignment="1">
      <alignment vertical="center"/>
    </xf>
    <xf numFmtId="164" fontId="26" fillId="2" borderId="4" xfId="2" applyNumberFormat="1" applyFont="1" applyFill="1" applyBorder="1" applyAlignment="1">
      <alignment horizontal="justify" vertical="center"/>
    </xf>
    <xf numFmtId="164" fontId="26" fillId="0" borderId="4" xfId="2" applyNumberFormat="1" applyFont="1" applyFill="1" applyBorder="1" applyAlignment="1">
      <alignment horizontal="justify" vertical="center"/>
    </xf>
    <xf numFmtId="164" fontId="26" fillId="0" borderId="4" xfId="2" applyNumberFormat="1" applyFont="1" applyFill="1" applyBorder="1" applyAlignment="1">
      <alignment vertical="center"/>
    </xf>
    <xf numFmtId="0" fontId="26" fillId="2" borderId="4" xfId="5" applyFont="1" applyFill="1" applyBorder="1" applyAlignment="1">
      <alignment horizontal="center" vertical="center" wrapText="1"/>
    </xf>
    <xf numFmtId="0" fontId="26" fillId="0" borderId="1" xfId="5" applyFont="1" applyBorder="1" applyAlignment="1">
      <alignment vertical="center"/>
    </xf>
    <xf numFmtId="0" fontId="30" fillId="0" borderId="4" xfId="6" applyFont="1" applyFill="1" applyBorder="1" applyAlignment="1" applyProtection="1">
      <alignment horizontal="justify" vertical="center"/>
    </xf>
    <xf numFmtId="0" fontId="26" fillId="0" borderId="10" xfId="5" applyFont="1" applyBorder="1" applyAlignment="1">
      <alignment horizontal="center" vertical="center" wrapText="1"/>
    </xf>
    <xf numFmtId="0" fontId="26" fillId="0" borderId="4" xfId="0" applyFont="1" applyBorder="1" applyAlignment="1">
      <alignment horizontal="center" vertical="center"/>
    </xf>
    <xf numFmtId="168" fontId="26" fillId="0" borderId="4" xfId="0" applyNumberFormat="1" applyFont="1" applyBorder="1" applyAlignment="1">
      <alignment horizontal="center" vertical="center"/>
    </xf>
    <xf numFmtId="166" fontId="26" fillId="0" borderId="4" xfId="0" applyNumberFormat="1" applyFont="1" applyBorder="1" applyAlignment="1">
      <alignment horizontal="center" vertical="center"/>
    </xf>
    <xf numFmtId="0" fontId="25" fillId="0" borderId="3" xfId="0" applyFont="1" applyBorder="1" applyAlignment="1">
      <alignment horizontal="center" vertical="center" wrapText="1"/>
    </xf>
    <xf numFmtId="10" fontId="26" fillId="5" borderId="4" xfId="2" applyNumberFormat="1" applyFont="1" applyFill="1" applyBorder="1" applyAlignment="1">
      <alignment horizontal="center" vertical="center"/>
    </xf>
    <xf numFmtId="165" fontId="25" fillId="0" borderId="4" xfId="0" applyNumberFormat="1" applyFont="1" applyBorder="1" applyAlignment="1">
      <alignment horizontal="center" vertical="center"/>
    </xf>
    <xf numFmtId="0" fontId="25" fillId="0" borderId="4" xfId="5" applyFont="1" applyBorder="1" applyAlignment="1">
      <alignment horizontal="center" vertical="center"/>
    </xf>
    <xf numFmtId="165" fontId="25" fillId="0" borderId="9" xfId="0" applyNumberFormat="1" applyFont="1" applyBorder="1" applyAlignment="1">
      <alignment horizontal="center" vertical="center"/>
    </xf>
    <xf numFmtId="0" fontId="26" fillId="4" borderId="27" xfId="5" applyFont="1" applyFill="1" applyBorder="1" applyAlignment="1">
      <alignment horizontal="center" vertical="center" wrapText="1"/>
    </xf>
    <xf numFmtId="0" fontId="26" fillId="4" borderId="4" xfId="0" applyFont="1" applyFill="1" applyBorder="1" applyAlignment="1">
      <alignment horizontal="center" vertical="center" wrapText="1"/>
    </xf>
    <xf numFmtId="0" fontId="26" fillId="4" borderId="3" xfId="0" applyFont="1" applyFill="1" applyBorder="1" applyAlignment="1">
      <alignment vertical="center" wrapText="1"/>
    </xf>
    <xf numFmtId="165" fontId="25" fillId="0" borderId="25" xfId="0" applyNumberFormat="1" applyFont="1" applyBorder="1" applyAlignment="1">
      <alignment horizontal="center" vertical="center"/>
    </xf>
    <xf numFmtId="165" fontId="26" fillId="5" borderId="25" xfId="0" applyNumberFormat="1" applyFont="1" applyFill="1" applyBorder="1" applyAlignment="1">
      <alignment horizontal="center" vertical="center"/>
    </xf>
    <xf numFmtId="10" fontId="26" fillId="5" borderId="4" xfId="0" applyNumberFormat="1" applyFont="1" applyFill="1" applyBorder="1" applyAlignment="1">
      <alignment horizontal="center" vertical="center" wrapText="1"/>
    </xf>
    <xf numFmtId="165" fontId="26" fillId="2" borderId="25" xfId="5" applyNumberFormat="1" applyFont="1" applyFill="1" applyBorder="1" applyAlignment="1">
      <alignment horizontal="center" vertical="center" wrapText="1"/>
    </xf>
    <xf numFmtId="165" fontId="25" fillId="2" borderId="25" xfId="0" applyNumberFormat="1" applyFont="1" applyFill="1" applyBorder="1" applyAlignment="1">
      <alignment horizontal="center" vertical="center"/>
    </xf>
    <xf numFmtId="165" fontId="25" fillId="2" borderId="25" xfId="0" quotePrefix="1" applyNumberFormat="1" applyFont="1" applyFill="1" applyBorder="1" applyAlignment="1">
      <alignment horizontal="center" vertical="center"/>
    </xf>
    <xf numFmtId="165" fontId="26" fillId="6" borderId="25" xfId="0" applyNumberFormat="1" applyFont="1" applyFill="1" applyBorder="1" applyAlignment="1">
      <alignment horizontal="center" vertical="center"/>
    </xf>
    <xf numFmtId="165" fontId="26" fillId="4" borderId="25" xfId="5" applyNumberFormat="1" applyFont="1" applyFill="1" applyBorder="1" applyAlignment="1">
      <alignment horizontal="center" vertical="center" wrapText="1"/>
    </xf>
    <xf numFmtId="165" fontId="26" fillId="0" borderId="25" xfId="5" applyNumberFormat="1" applyFont="1" applyBorder="1" applyAlignment="1">
      <alignment horizontal="center" vertical="center" wrapText="1"/>
    </xf>
    <xf numFmtId="165" fontId="25" fillId="0" borderId="25" xfId="0" quotePrefix="1" applyNumberFormat="1" applyFont="1" applyBorder="1" applyAlignment="1">
      <alignment horizontal="center" vertical="center"/>
    </xf>
    <xf numFmtId="165" fontId="26" fillId="2" borderId="25" xfId="0" applyNumberFormat="1" applyFont="1" applyFill="1" applyBorder="1" applyAlignment="1">
      <alignment horizontal="center" vertical="center"/>
    </xf>
    <xf numFmtId="0" fontId="26" fillId="0" borderId="3" xfId="5" applyFont="1" applyBorder="1" applyAlignment="1">
      <alignment horizontal="center" vertical="center"/>
    </xf>
    <xf numFmtId="10" fontId="26" fillId="5" borderId="4" xfId="5" applyNumberFormat="1" applyFont="1" applyFill="1" applyBorder="1" applyAlignment="1">
      <alignment horizontal="center" vertical="center" wrapText="1"/>
    </xf>
    <xf numFmtId="165" fontId="26" fillId="6" borderId="30" xfId="0" applyNumberFormat="1" applyFont="1" applyFill="1" applyBorder="1" applyAlignment="1">
      <alignment horizontal="center" vertical="center"/>
    </xf>
    <xf numFmtId="0" fontId="25" fillId="0" borderId="4" xfId="0" applyFont="1" applyBorder="1" applyAlignment="1">
      <alignment vertical="center" wrapText="1"/>
    </xf>
    <xf numFmtId="0" fontId="25" fillId="0" borderId="4" xfId="5" applyFont="1" applyBorder="1" applyAlignment="1">
      <alignment horizontal="left" vertical="center" wrapText="1"/>
    </xf>
    <xf numFmtId="4" fontId="25" fillId="0" borderId="4" xfId="2" applyNumberFormat="1" applyFont="1" applyFill="1" applyBorder="1" applyAlignment="1">
      <alignment horizontal="center" vertical="center"/>
    </xf>
    <xf numFmtId="0" fontId="25" fillId="0" borderId="4" xfId="2" applyNumberFormat="1" applyFont="1" applyFill="1" applyBorder="1" applyAlignment="1">
      <alignment horizontal="center" vertical="center"/>
    </xf>
    <xf numFmtId="0" fontId="25" fillId="0" borderId="4" xfId="5" applyFont="1" applyBorder="1" applyAlignment="1">
      <alignment horizontal="center" vertical="center" wrapText="1"/>
    </xf>
    <xf numFmtId="10" fontId="25" fillId="0" borderId="9" xfId="2" applyNumberFormat="1" applyFont="1" applyFill="1" applyBorder="1" applyAlignment="1">
      <alignment horizontal="center" vertical="center"/>
    </xf>
    <xf numFmtId="165" fontId="26" fillId="5" borderId="23" xfId="0" applyNumberFormat="1" applyFont="1" applyFill="1" applyBorder="1" applyAlignment="1">
      <alignment horizontal="center" vertical="center"/>
    </xf>
    <xf numFmtId="165" fontId="26" fillId="3" borderId="25" xfId="5" applyNumberFormat="1" applyFont="1" applyFill="1" applyBorder="1" applyAlignment="1">
      <alignment horizontal="center" vertical="center" wrapText="1"/>
    </xf>
    <xf numFmtId="165" fontId="26" fillId="0" borderId="25" xfId="0" applyNumberFormat="1" applyFont="1" applyBorder="1" applyAlignment="1">
      <alignment horizontal="center" vertical="center"/>
    </xf>
    <xf numFmtId="165" fontId="26" fillId="5" borderId="35" xfId="0" applyNumberFormat="1" applyFont="1" applyFill="1" applyBorder="1" applyAlignment="1">
      <alignment horizontal="center" vertical="center"/>
    </xf>
    <xf numFmtId="165" fontId="26" fillId="4" borderId="25" xfId="0" applyNumberFormat="1" applyFont="1" applyFill="1" applyBorder="1" applyAlignment="1">
      <alignment horizontal="center" vertical="center"/>
    </xf>
    <xf numFmtId="0" fontId="26" fillId="2" borderId="4" xfId="5" applyFont="1" applyFill="1" applyBorder="1" applyAlignment="1">
      <alignment vertical="center" wrapText="1"/>
    </xf>
    <xf numFmtId="0" fontId="25" fillId="2" borderId="4" xfId="0" applyFont="1" applyFill="1" applyBorder="1" applyAlignment="1">
      <alignment vertical="center" wrapText="1"/>
    </xf>
    <xf numFmtId="165" fontId="26" fillId="6" borderId="26" xfId="0" applyNumberFormat="1" applyFont="1" applyFill="1" applyBorder="1" applyAlignment="1">
      <alignment horizontal="center" vertical="center"/>
    </xf>
    <xf numFmtId="0" fontId="25" fillId="0" borderId="27" xfId="0" applyFont="1" applyBorder="1" applyAlignment="1">
      <alignment horizontal="center" vertical="center" wrapText="1"/>
    </xf>
    <xf numFmtId="0" fontId="25" fillId="0" borderId="25" xfId="0" applyFont="1" applyBorder="1" applyAlignment="1">
      <alignment horizontal="center" vertical="center" wrapText="1"/>
    </xf>
    <xf numFmtId="166" fontId="26" fillId="0" borderId="25" xfId="0" applyNumberFormat="1" applyFont="1" applyBorder="1" applyAlignment="1">
      <alignment horizontal="center" vertical="center"/>
    </xf>
    <xf numFmtId="166" fontId="26" fillId="0" borderId="35" xfId="0" applyNumberFormat="1" applyFont="1" applyBorder="1" applyAlignment="1">
      <alignment horizontal="center" vertical="center"/>
    </xf>
    <xf numFmtId="165" fontId="25" fillId="0" borderId="13" xfId="0" applyNumberFormat="1" applyFont="1" applyBorder="1" applyAlignment="1">
      <alignment horizontal="center" vertical="center"/>
    </xf>
    <xf numFmtId="10" fontId="26" fillId="0" borderId="17" xfId="0" applyNumberFormat="1" applyFont="1" applyBorder="1" applyAlignment="1">
      <alignment horizontal="center" vertical="center"/>
    </xf>
    <xf numFmtId="165" fontId="25" fillId="0" borderId="25" xfId="1" applyNumberFormat="1" applyFont="1" applyFill="1" applyBorder="1" applyAlignment="1">
      <alignment horizontal="center" vertical="center"/>
    </xf>
    <xf numFmtId="165" fontId="25" fillId="0" borderId="52" xfId="0" applyNumberFormat="1" applyFont="1" applyBorder="1" applyAlignment="1">
      <alignment horizontal="center" vertical="center"/>
    </xf>
    <xf numFmtId="0" fontId="31" fillId="2" borderId="36" xfId="0" applyFont="1" applyFill="1" applyBorder="1" applyAlignment="1">
      <alignment horizontal="center" vertical="center" wrapText="1"/>
    </xf>
    <xf numFmtId="0" fontId="25" fillId="2" borderId="36" xfId="0" applyFont="1" applyFill="1" applyBorder="1" applyAlignment="1">
      <alignment horizontal="center" vertical="center" wrapText="1"/>
    </xf>
    <xf numFmtId="0" fontId="26" fillId="0" borderId="4" xfId="5" applyFont="1" applyBorder="1" applyAlignment="1">
      <alignment horizontal="center" vertical="center" wrapText="1"/>
    </xf>
    <xf numFmtId="4" fontId="26" fillId="2" borderId="25" xfId="5" applyNumberFormat="1" applyFont="1" applyFill="1" applyBorder="1" applyAlignment="1">
      <alignment horizontal="center" vertical="center" wrapText="1"/>
    </xf>
    <xf numFmtId="0" fontId="25" fillId="2" borderId="43" xfId="0" applyFont="1" applyFill="1" applyBorder="1" applyAlignment="1">
      <alignment horizontal="center" vertical="center" wrapText="1"/>
    </xf>
    <xf numFmtId="1" fontId="25" fillId="2" borderId="43" xfId="0" applyNumberFormat="1" applyFont="1" applyFill="1" applyBorder="1" applyAlignment="1">
      <alignment horizontal="center" vertical="center" shrinkToFit="1"/>
    </xf>
    <xf numFmtId="165" fontId="25" fillId="2" borderId="43" xfId="0" applyNumberFormat="1" applyFont="1" applyFill="1" applyBorder="1" applyAlignment="1">
      <alignment horizontal="center" vertical="center"/>
    </xf>
    <xf numFmtId="1" fontId="25" fillId="2" borderId="4" xfId="0" applyNumberFormat="1" applyFont="1" applyFill="1" applyBorder="1" applyAlignment="1">
      <alignment horizontal="center" vertical="center" shrinkToFit="1"/>
    </xf>
    <xf numFmtId="165" fontId="25" fillId="2" borderId="4" xfId="0" applyNumberFormat="1" applyFont="1" applyFill="1" applyBorder="1" applyAlignment="1">
      <alignment horizontal="center" vertical="center"/>
    </xf>
    <xf numFmtId="165" fontId="25" fillId="2" borderId="4" xfId="0" applyNumberFormat="1" applyFont="1" applyFill="1" applyBorder="1" applyAlignment="1">
      <alignment horizontal="center" vertical="center" shrinkToFit="1"/>
    </xf>
    <xf numFmtId="0" fontId="25" fillId="2" borderId="4" xfId="0" applyFont="1" applyFill="1" applyBorder="1" applyAlignment="1">
      <alignment horizontal="center" vertical="center" wrapText="1"/>
    </xf>
    <xf numFmtId="0" fontId="0" fillId="2" borderId="4" xfId="0" applyFont="1" applyFill="1" applyBorder="1" applyAlignment="1">
      <alignment horizontal="center" vertical="center" wrapText="1"/>
    </xf>
    <xf numFmtId="1" fontId="0" fillId="2" borderId="4" xfId="0" applyNumberFormat="1" applyFont="1" applyFill="1" applyBorder="1" applyAlignment="1">
      <alignment horizontal="center" vertical="center" shrinkToFit="1"/>
    </xf>
    <xf numFmtId="165" fontId="0" fillId="2" borderId="4" xfId="0" applyNumberFormat="1" applyFont="1" applyFill="1" applyBorder="1" applyAlignment="1">
      <alignment horizontal="center" vertical="center"/>
    </xf>
    <xf numFmtId="0" fontId="2" fillId="2" borderId="27" xfId="0" applyFont="1" applyFill="1" applyBorder="1" applyAlignment="1">
      <alignment horizontal="center" vertical="center"/>
    </xf>
    <xf numFmtId="0" fontId="0" fillId="2" borderId="4" xfId="0" applyFont="1" applyFill="1" applyBorder="1" applyAlignment="1">
      <alignment horizontal="center" vertical="center"/>
    </xf>
    <xf numFmtId="1" fontId="35" fillId="2" borderId="4" xfId="0" applyNumberFormat="1" applyFont="1" applyFill="1" applyBorder="1" applyAlignment="1">
      <alignment horizontal="center" vertical="center" shrinkToFit="1"/>
    </xf>
    <xf numFmtId="0" fontId="26" fillId="5" borderId="27" xfId="0" applyFont="1" applyFill="1" applyBorder="1" applyAlignment="1">
      <alignment horizontal="center" vertical="center"/>
    </xf>
    <xf numFmtId="0" fontId="26" fillId="5" borderId="4" xfId="0" applyFont="1" applyFill="1" applyBorder="1" applyAlignment="1">
      <alignment horizontal="center" vertical="center"/>
    </xf>
    <xf numFmtId="0" fontId="26" fillId="5" borderId="4" xfId="0" applyFont="1" applyFill="1" applyBorder="1" applyAlignment="1">
      <alignment horizontal="center" vertical="center" wrapText="1"/>
    </xf>
    <xf numFmtId="0" fontId="26" fillId="5" borderId="25" xfId="0" applyFont="1" applyFill="1" applyBorder="1" applyAlignment="1">
      <alignment horizontal="center" vertical="center" wrapText="1"/>
    </xf>
    <xf numFmtId="0" fontId="26" fillId="2" borderId="27" xfId="0" applyFont="1" applyFill="1" applyBorder="1" applyAlignment="1">
      <alignment horizontal="center" vertical="center"/>
    </xf>
    <xf numFmtId="0" fontId="26" fillId="5" borderId="27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2" fillId="5" borderId="25" xfId="0" applyFont="1" applyFill="1" applyBorder="1" applyAlignment="1">
      <alignment horizontal="center" vertical="center" wrapText="1"/>
    </xf>
    <xf numFmtId="10" fontId="0" fillId="0" borderId="41" xfId="0" applyNumberFormat="1" applyFont="1" applyBorder="1" applyAlignment="1">
      <alignment horizontal="center" vertical="center"/>
    </xf>
    <xf numFmtId="0" fontId="0" fillId="0" borderId="41" xfId="0" applyFont="1" applyBorder="1" applyAlignment="1">
      <alignment horizontal="left" vertical="center"/>
    </xf>
    <xf numFmtId="0" fontId="26" fillId="0" borderId="4" xfId="0" applyFont="1" applyBorder="1" applyAlignment="1">
      <alignment vertical="center"/>
    </xf>
    <xf numFmtId="0" fontId="25" fillId="2" borderId="4" xfId="0" applyFont="1" applyFill="1" applyBorder="1" applyAlignment="1">
      <alignment vertical="center"/>
    </xf>
    <xf numFmtId="0" fontId="25" fillId="2" borderId="4" xfId="5" applyFont="1" applyFill="1" applyBorder="1" applyAlignment="1">
      <alignment vertical="center" wrapText="1"/>
    </xf>
    <xf numFmtId="0" fontId="26" fillId="4" borderId="4" xfId="5" applyFont="1" applyFill="1" applyBorder="1" applyAlignment="1">
      <alignment vertical="center" wrapText="1"/>
    </xf>
    <xf numFmtId="0" fontId="25" fillId="2" borderId="4" xfId="5" applyFont="1" applyFill="1" applyBorder="1" applyAlignment="1">
      <alignment horizontal="left" vertical="center" wrapText="1"/>
    </xf>
    <xf numFmtId="0" fontId="25" fillId="0" borderId="4" xfId="0" applyFont="1" applyBorder="1" applyAlignment="1">
      <alignment horizontal="left" vertical="center"/>
    </xf>
    <xf numFmtId="0" fontId="25" fillId="0" borderId="4" xfId="0" applyFont="1" applyBorder="1" applyAlignment="1">
      <alignment horizontal="left" vertical="center" wrapText="1"/>
    </xf>
    <xf numFmtId="0" fontId="26" fillId="0" borderId="4" xfId="0" applyFont="1" applyBorder="1" applyAlignment="1">
      <alignment horizontal="left" vertical="center"/>
    </xf>
    <xf numFmtId="0" fontId="26" fillId="0" borderId="4" xfId="6" applyFont="1" applyFill="1" applyBorder="1" applyAlignment="1" applyProtection="1">
      <alignment horizontal="left" vertical="center"/>
    </xf>
    <xf numFmtId="0" fontId="2" fillId="4" borderId="27" xfId="5" applyFont="1" applyFill="1" applyBorder="1" applyAlignment="1">
      <alignment horizontal="center"/>
    </xf>
    <xf numFmtId="0" fontId="2" fillId="4" borderId="4" xfId="5" applyFont="1" applyFill="1" applyBorder="1" applyAlignment="1">
      <alignment vertical="center" wrapText="1"/>
    </xf>
    <xf numFmtId="0" fontId="25" fillId="2" borderId="27" xfId="5" applyFont="1" applyFill="1" applyBorder="1" applyAlignment="1">
      <alignment horizontal="center"/>
    </xf>
    <xf numFmtId="0" fontId="25" fillId="2" borderId="27" xfId="5" applyFont="1" applyFill="1" applyBorder="1" applyAlignment="1">
      <alignment horizontal="center" vertical="center" wrapText="1"/>
    </xf>
    <xf numFmtId="0" fontId="26" fillId="0" borderId="4" xfId="5" applyFont="1" applyBorder="1" applyAlignment="1">
      <alignment vertical="center" wrapText="1"/>
    </xf>
    <xf numFmtId="0" fontId="25" fillId="0" borderId="1" xfId="5" applyFont="1" applyBorder="1" applyAlignment="1">
      <alignment vertical="center"/>
    </xf>
    <xf numFmtId="0" fontId="25" fillId="0" borderId="5" xfId="5" applyFont="1" applyBorder="1" applyAlignment="1">
      <alignment vertical="center" wrapText="1"/>
    </xf>
    <xf numFmtId="165" fontId="26" fillId="5" borderId="4" xfId="7" applyNumberFormat="1" applyFont="1" applyFill="1" applyBorder="1" applyAlignment="1">
      <alignment horizontal="center" vertical="center"/>
    </xf>
    <xf numFmtId="0" fontId="26" fillId="2" borderId="53" xfId="0" applyFont="1" applyFill="1" applyBorder="1" applyAlignment="1">
      <alignment horizontal="center" vertical="center"/>
    </xf>
    <xf numFmtId="165" fontId="25" fillId="2" borderId="23" xfId="1" applyNumberFormat="1" applyFont="1" applyFill="1" applyBorder="1" applyAlignment="1">
      <alignment horizontal="center" vertical="center"/>
    </xf>
    <xf numFmtId="1" fontId="25" fillId="0" borderId="4" xfId="0" applyNumberFormat="1" applyFont="1" applyBorder="1" applyAlignment="1">
      <alignment horizontal="center" vertical="center" shrinkToFit="1"/>
    </xf>
    <xf numFmtId="165" fontId="25" fillId="2" borderId="25" xfId="1" applyNumberFormat="1" applyFont="1" applyFill="1" applyBorder="1" applyAlignment="1">
      <alignment horizontal="center" vertical="center"/>
    </xf>
    <xf numFmtId="165" fontId="0" fillId="2" borderId="25" xfId="1" applyNumberFormat="1" applyFont="1" applyFill="1" applyBorder="1" applyAlignment="1">
      <alignment horizontal="center" vertical="center"/>
    </xf>
    <xf numFmtId="165" fontId="25" fillId="2" borderId="4" xfId="7" applyNumberFormat="1" applyFont="1" applyFill="1" applyBorder="1" applyAlignment="1">
      <alignment horizontal="center" vertical="center"/>
    </xf>
    <xf numFmtId="165" fontId="25" fillId="2" borderId="25" xfId="7" applyNumberFormat="1" applyFont="1" applyFill="1" applyBorder="1" applyAlignment="1">
      <alignment horizontal="center" vertical="center"/>
    </xf>
    <xf numFmtId="165" fontId="2" fillId="5" borderId="4" xfId="7" applyNumberFormat="1" applyFont="1" applyFill="1" applyBorder="1" applyAlignment="1">
      <alignment horizontal="center" vertical="center"/>
    </xf>
    <xf numFmtId="165" fontId="2" fillId="5" borderId="52" xfId="7" applyNumberFormat="1" applyFont="1" applyFill="1" applyBorder="1" applyAlignment="1">
      <alignment horizontal="center" vertical="center"/>
    </xf>
    <xf numFmtId="165" fontId="2" fillId="7" borderId="17" xfId="0" applyNumberFormat="1" applyFont="1" applyFill="1" applyBorder="1" applyAlignment="1">
      <alignment horizontal="center" vertical="center"/>
    </xf>
    <xf numFmtId="0" fontId="2" fillId="5" borderId="27" xfId="0" applyFont="1" applyFill="1" applyBorder="1" applyAlignment="1">
      <alignment horizontal="center" vertical="center" wrapText="1"/>
    </xf>
    <xf numFmtId="0" fontId="26" fillId="0" borderId="17" xfId="0" applyFont="1" applyBorder="1" applyAlignment="1">
      <alignment horizontal="center" vertical="center" wrapText="1"/>
    </xf>
    <xf numFmtId="44" fontId="26" fillId="0" borderId="17" xfId="0" applyNumberFormat="1" applyFont="1" applyBorder="1" applyAlignment="1">
      <alignment horizontal="center" vertical="center" wrapText="1"/>
    </xf>
    <xf numFmtId="0" fontId="25" fillId="0" borderId="4" xfId="0" applyFont="1" applyBorder="1" applyAlignment="1">
      <alignment horizontal="justify" vertical="center"/>
    </xf>
    <xf numFmtId="0" fontId="25" fillId="2" borderId="4" xfId="0" applyFont="1" applyFill="1" applyBorder="1" applyAlignment="1">
      <alignment horizontal="center" vertical="center"/>
    </xf>
    <xf numFmtId="0" fontId="25" fillId="2" borderId="16" xfId="0" applyFont="1" applyFill="1" applyBorder="1" applyAlignment="1">
      <alignment horizontal="center" vertical="center" wrapText="1"/>
    </xf>
    <xf numFmtId="165" fontId="25" fillId="2" borderId="4" xfId="5" applyNumberFormat="1" applyFont="1" applyFill="1" applyBorder="1" applyAlignment="1">
      <alignment horizontal="center" vertical="center"/>
    </xf>
    <xf numFmtId="165" fontId="25" fillId="2" borderId="25" xfId="5" applyNumberFormat="1" applyFont="1" applyFill="1" applyBorder="1" applyAlignment="1">
      <alignment horizontal="center" vertical="center"/>
    </xf>
    <xf numFmtId="0" fontId="26" fillId="5" borderId="53" xfId="0" applyFont="1" applyFill="1" applyBorder="1" applyAlignment="1">
      <alignment horizontal="center" vertical="center" wrapText="1"/>
    </xf>
    <xf numFmtId="0" fontId="26" fillId="5" borderId="43" xfId="0" applyFont="1" applyFill="1" applyBorder="1" applyAlignment="1">
      <alignment horizontal="center" vertical="center" wrapText="1"/>
    </xf>
    <xf numFmtId="0" fontId="26" fillId="5" borderId="43" xfId="13" applyFont="1" applyFill="1" applyBorder="1" applyAlignment="1">
      <alignment horizontal="center" vertical="center" wrapText="1"/>
    </xf>
    <xf numFmtId="0" fontId="36" fillId="5" borderId="43" xfId="13" applyFont="1" applyFill="1" applyBorder="1" applyAlignment="1">
      <alignment horizontal="center" vertical="center" wrapText="1"/>
    </xf>
    <xf numFmtId="0" fontId="36" fillId="5" borderId="23" xfId="13" applyFont="1" applyFill="1" applyBorder="1" applyAlignment="1">
      <alignment horizontal="center" vertical="center" wrapText="1"/>
    </xf>
    <xf numFmtId="0" fontId="31" fillId="2" borderId="0" xfId="0" applyFont="1" applyFill="1" applyBorder="1" applyAlignment="1">
      <alignment horizontal="center" vertical="center" wrapText="1"/>
    </xf>
    <xf numFmtId="0" fontId="25" fillId="2" borderId="0" xfId="0" applyFont="1" applyFill="1" applyBorder="1" applyAlignment="1">
      <alignment horizontal="center" vertical="center" wrapText="1"/>
    </xf>
    <xf numFmtId="0" fontId="25" fillId="2" borderId="14" xfId="0" applyFont="1" applyFill="1" applyBorder="1" applyAlignment="1">
      <alignment horizontal="center" vertical="center" wrapText="1"/>
    </xf>
    <xf numFmtId="44" fontId="25" fillId="2" borderId="15" xfId="0" applyNumberFormat="1" applyFont="1" applyFill="1" applyBorder="1" applyAlignment="1">
      <alignment horizontal="center" vertical="center" wrapText="1"/>
    </xf>
    <xf numFmtId="0" fontId="27" fillId="7" borderId="12" xfId="0" applyFont="1" applyFill="1" applyBorder="1" applyAlignment="1">
      <alignment horizontal="center" vertical="center"/>
    </xf>
    <xf numFmtId="0" fontId="27" fillId="7" borderId="11" xfId="0" applyFont="1" applyFill="1" applyBorder="1" applyAlignment="1">
      <alignment horizontal="center" vertical="center"/>
    </xf>
    <xf numFmtId="2" fontId="0" fillId="2" borderId="15" xfId="0" applyNumberFormat="1" applyFont="1" applyFill="1" applyBorder="1" applyAlignment="1">
      <alignment horizontal="center" vertical="center"/>
    </xf>
    <xf numFmtId="165" fontId="26" fillId="5" borderId="52" xfId="7" applyNumberFormat="1" applyFont="1" applyFill="1" applyBorder="1" applyAlignment="1">
      <alignment horizontal="center" vertical="center"/>
    </xf>
    <xf numFmtId="165" fontId="26" fillId="7" borderId="17" xfId="0" applyNumberFormat="1" applyFont="1" applyFill="1" applyBorder="1" applyAlignment="1">
      <alignment horizontal="center" vertical="center"/>
    </xf>
    <xf numFmtId="0" fontId="25" fillId="0" borderId="0" xfId="0" applyFont="1" applyAlignment="1">
      <alignment vertical="center"/>
    </xf>
    <xf numFmtId="0" fontId="25" fillId="2" borderId="0" xfId="0" applyFont="1" applyFill="1" applyAlignment="1">
      <alignment vertical="center"/>
    </xf>
    <xf numFmtId="0" fontId="25" fillId="2" borderId="4" xfId="0" applyFont="1" applyFill="1" applyBorder="1" applyAlignment="1">
      <alignment horizontal="left" vertical="center" wrapText="1"/>
    </xf>
    <xf numFmtId="0" fontId="25" fillId="2" borderId="43" xfId="0" applyFont="1" applyFill="1" applyBorder="1" applyAlignment="1">
      <alignment horizontal="left" vertical="center" wrapText="1"/>
    </xf>
    <xf numFmtId="0" fontId="0" fillId="2" borderId="4" xfId="0" applyFont="1" applyFill="1" applyBorder="1" applyAlignment="1">
      <alignment horizontal="left" vertical="center" wrapText="1"/>
    </xf>
    <xf numFmtId="0" fontId="25" fillId="2" borderId="4" xfId="0" applyFont="1" applyFill="1" applyBorder="1" applyAlignment="1">
      <alignment horizontal="left" vertical="center"/>
    </xf>
    <xf numFmtId="0" fontId="26" fillId="0" borderId="27" xfId="0" applyFont="1" applyBorder="1" applyAlignment="1">
      <alignment horizontal="center" vertical="center"/>
    </xf>
    <xf numFmtId="0" fontId="26" fillId="2" borderId="55" xfId="0" applyFont="1" applyFill="1" applyBorder="1" applyAlignment="1">
      <alignment horizontal="center" vertical="center"/>
    </xf>
    <xf numFmtId="3" fontId="25" fillId="2" borderId="4" xfId="0" applyNumberFormat="1" applyFont="1" applyFill="1" applyBorder="1" applyAlignment="1">
      <alignment horizontal="center" vertical="center" shrinkToFit="1"/>
    </xf>
    <xf numFmtId="0" fontId="26" fillId="2" borderId="0" xfId="0" applyFont="1" applyFill="1" applyBorder="1" applyAlignment="1">
      <alignment horizontal="center" vertical="center" wrapText="1"/>
    </xf>
    <xf numFmtId="0" fontId="0" fillId="2" borderId="0" xfId="0" applyFont="1" applyFill="1" applyBorder="1" applyAlignment="1">
      <alignment horizontal="center" vertical="center"/>
    </xf>
    <xf numFmtId="167" fontId="33" fillId="2" borderId="0" xfId="0" applyNumberFormat="1" applyFont="1" applyFill="1" applyBorder="1" applyAlignment="1">
      <alignment horizontal="center" vertical="center"/>
    </xf>
    <xf numFmtId="0" fontId="26" fillId="2" borderId="0" xfId="0" applyFont="1" applyFill="1" applyBorder="1" applyAlignment="1">
      <alignment horizontal="center" vertical="center"/>
    </xf>
    <xf numFmtId="166" fontId="26" fillId="2" borderId="0" xfId="0" applyNumberFormat="1" applyFont="1" applyFill="1" applyBorder="1" applyAlignment="1">
      <alignment horizontal="center" vertical="center"/>
    </xf>
    <xf numFmtId="0" fontId="0" fillId="2" borderId="50" xfId="0" applyFont="1" applyFill="1" applyBorder="1" applyAlignment="1">
      <alignment horizontal="center" vertical="center"/>
    </xf>
    <xf numFmtId="0" fontId="25" fillId="0" borderId="4" xfId="0" applyFont="1" applyBorder="1" applyAlignment="1">
      <alignment horizontal="center" vertical="center" wrapText="1"/>
    </xf>
    <xf numFmtId="0" fontId="25" fillId="0" borderId="4" xfId="0" applyFont="1" applyBorder="1" applyAlignment="1">
      <alignment horizontal="center" vertical="center"/>
    </xf>
    <xf numFmtId="0" fontId="25" fillId="2" borderId="0" xfId="0" applyFont="1" applyFill="1" applyBorder="1" applyAlignment="1">
      <alignment horizontal="center" vertical="center"/>
    </xf>
    <xf numFmtId="0" fontId="26" fillId="0" borderId="27" xfId="5" applyFont="1" applyBorder="1" applyAlignment="1">
      <alignment horizontal="center" vertical="center" wrapText="1"/>
    </xf>
    <xf numFmtId="0" fontId="25" fillId="0" borderId="1" xfId="5" applyFont="1" applyBorder="1" applyAlignment="1">
      <alignment vertical="center" wrapText="1"/>
    </xf>
    <xf numFmtId="0" fontId="25" fillId="0" borderId="1" xfId="5" applyFont="1" applyBorder="1" applyAlignment="1">
      <alignment horizontal="left" vertical="center" wrapText="1"/>
    </xf>
    <xf numFmtId="0" fontId="26" fillId="7" borderId="13" xfId="0" applyFont="1" applyFill="1" applyBorder="1" applyAlignment="1">
      <alignment horizontal="center" vertical="center"/>
    </xf>
    <xf numFmtId="44" fontId="26" fillId="7" borderId="17" xfId="0" applyNumberFormat="1" applyFont="1" applyFill="1" applyBorder="1" applyAlignment="1">
      <alignment horizontal="center" vertical="center"/>
    </xf>
    <xf numFmtId="10" fontId="26" fillId="6" borderId="4" xfId="5" applyNumberFormat="1" applyFont="1" applyFill="1" applyBorder="1" applyAlignment="1">
      <alignment horizontal="center" vertical="center" wrapText="1"/>
    </xf>
    <xf numFmtId="165" fontId="25" fillId="2" borderId="4" xfId="10" applyNumberFormat="1" applyFont="1" applyFill="1" applyBorder="1" applyAlignment="1">
      <alignment horizontal="center" vertical="center"/>
    </xf>
    <xf numFmtId="0" fontId="26" fillId="5" borderId="31" xfId="0" applyFont="1" applyFill="1" applyBorder="1" applyAlignment="1">
      <alignment horizontal="center" vertical="center" wrapText="1"/>
    </xf>
    <xf numFmtId="0" fontId="26" fillId="5" borderId="9" xfId="0" applyFont="1" applyFill="1" applyBorder="1" applyAlignment="1">
      <alignment horizontal="center" vertical="center" wrapText="1"/>
    </xf>
    <xf numFmtId="0" fontId="26" fillId="5" borderId="52" xfId="0" applyFont="1" applyFill="1" applyBorder="1" applyAlignment="1">
      <alignment horizontal="center" vertical="center" wrapText="1"/>
    </xf>
    <xf numFmtId="165" fontId="25" fillId="2" borderId="4" xfId="1" applyNumberFormat="1" applyFont="1" applyFill="1" applyBorder="1" applyAlignment="1">
      <alignment horizontal="center" vertical="center" shrinkToFit="1"/>
    </xf>
    <xf numFmtId="165" fontId="25" fillId="0" borderId="4" xfId="0" applyNumberFormat="1" applyFont="1" applyBorder="1" applyAlignment="1">
      <alignment horizontal="center" vertical="center" shrinkToFit="1"/>
    </xf>
    <xf numFmtId="165" fontId="26" fillId="5" borderId="43" xfId="7" applyNumberFormat="1" applyFont="1" applyFill="1" applyBorder="1" applyAlignment="1">
      <alignment horizontal="center" vertical="center"/>
    </xf>
    <xf numFmtId="165" fontId="25" fillId="2" borderId="9" xfId="10" applyNumberFormat="1" applyFont="1" applyFill="1" applyBorder="1" applyAlignment="1">
      <alignment horizontal="center" vertical="center"/>
    </xf>
    <xf numFmtId="165" fontId="25" fillId="2" borderId="4" xfId="10" applyNumberFormat="1" applyFont="1" applyFill="1" applyBorder="1" applyAlignment="1">
      <alignment horizontal="center"/>
    </xf>
    <xf numFmtId="0" fontId="8" fillId="0" borderId="0" xfId="0" applyFont="1" applyAlignment="1">
      <alignment horizontal="justify"/>
    </xf>
    <xf numFmtId="0" fontId="7" fillId="0" borderId="0" xfId="0" applyFont="1" applyAlignment="1">
      <alignment horizontal="center"/>
    </xf>
    <xf numFmtId="0" fontId="0" fillId="0" borderId="12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6" xfId="0" applyBorder="1" applyAlignment="1">
      <alignment horizontal="center"/>
    </xf>
    <xf numFmtId="0" fontId="13" fillId="0" borderId="0" xfId="0" applyFont="1" applyAlignment="1">
      <alignment horizontal="justify" wrapText="1"/>
    </xf>
    <xf numFmtId="0" fontId="17" fillId="0" borderId="17" xfId="0" applyFont="1" applyBorder="1" applyAlignment="1">
      <alignment horizontal="center" vertical="center" wrapText="1"/>
    </xf>
    <xf numFmtId="0" fontId="26" fillId="3" borderId="45" xfId="0" applyFont="1" applyFill="1" applyBorder="1" applyAlignment="1">
      <alignment horizontal="center" vertical="center"/>
    </xf>
    <xf numFmtId="0" fontId="26" fillId="3" borderId="46" xfId="0" applyFont="1" applyFill="1" applyBorder="1" applyAlignment="1">
      <alignment horizontal="center" vertical="center"/>
    </xf>
    <xf numFmtId="0" fontId="26" fillId="3" borderId="47" xfId="0" applyFont="1" applyFill="1" applyBorder="1" applyAlignment="1">
      <alignment horizontal="center" vertical="center"/>
    </xf>
    <xf numFmtId="0" fontId="26" fillId="7" borderId="12" xfId="0" applyFont="1" applyFill="1" applyBorder="1" applyAlignment="1">
      <alignment horizontal="center" vertical="center" wrapText="1"/>
    </xf>
    <xf numFmtId="0" fontId="26" fillId="7" borderId="11" xfId="0" applyFont="1" applyFill="1" applyBorder="1" applyAlignment="1">
      <alignment horizontal="center" vertical="center" wrapText="1"/>
    </xf>
    <xf numFmtId="0" fontId="26" fillId="7" borderId="13" xfId="0" applyFont="1" applyFill="1" applyBorder="1" applyAlignment="1">
      <alignment horizontal="center" vertical="center" wrapText="1"/>
    </xf>
    <xf numFmtId="0" fontId="31" fillId="7" borderId="12" xfId="0" applyFont="1" applyFill="1" applyBorder="1" applyAlignment="1">
      <alignment horizontal="center" vertical="center" wrapText="1"/>
    </xf>
    <xf numFmtId="0" fontId="31" fillId="7" borderId="11" xfId="0" applyFont="1" applyFill="1" applyBorder="1" applyAlignment="1">
      <alignment horizontal="center" vertical="center" wrapText="1"/>
    </xf>
    <xf numFmtId="0" fontId="31" fillId="7" borderId="13" xfId="0" applyFont="1" applyFill="1" applyBorder="1" applyAlignment="1">
      <alignment horizontal="center" vertical="center" wrapText="1"/>
    </xf>
    <xf numFmtId="0" fontId="31" fillId="0" borderId="45" xfId="0" applyFont="1" applyBorder="1" applyAlignment="1">
      <alignment horizontal="center" vertical="center" wrapText="1"/>
    </xf>
    <xf numFmtId="0" fontId="31" fillId="0" borderId="46" xfId="0" applyFont="1" applyBorder="1" applyAlignment="1">
      <alignment horizontal="center" vertical="center" wrapText="1"/>
    </xf>
    <xf numFmtId="0" fontId="31" fillId="0" borderId="47" xfId="0" applyFont="1" applyBorder="1" applyAlignment="1">
      <alignment horizontal="center" vertical="center" wrapText="1"/>
    </xf>
    <xf numFmtId="0" fontId="25" fillId="0" borderId="4" xfId="0" applyFont="1" applyBorder="1" applyAlignment="1">
      <alignment horizontal="center" vertical="center" wrapText="1"/>
    </xf>
    <xf numFmtId="0" fontId="25" fillId="0" borderId="4" xfId="0" applyFont="1" applyBorder="1" applyAlignment="1">
      <alignment horizontal="center" vertical="center"/>
    </xf>
    <xf numFmtId="0" fontId="25" fillId="2" borderId="0" xfId="0" applyFont="1" applyFill="1" applyBorder="1" applyAlignment="1">
      <alignment horizontal="center" vertical="center"/>
    </xf>
    <xf numFmtId="0" fontId="25" fillId="2" borderId="50" xfId="0" applyFont="1" applyFill="1" applyBorder="1" applyAlignment="1">
      <alignment horizontal="center" vertical="center"/>
    </xf>
    <xf numFmtId="0" fontId="26" fillId="0" borderId="32" xfId="0" applyFont="1" applyBorder="1" applyAlignment="1">
      <alignment horizontal="center" vertical="center"/>
    </xf>
    <xf numFmtId="0" fontId="26" fillId="0" borderId="33" xfId="0" applyFont="1" applyBorder="1" applyAlignment="1">
      <alignment horizontal="center" vertical="center"/>
    </xf>
    <xf numFmtId="0" fontId="26" fillId="0" borderId="34" xfId="0" applyFont="1" applyBorder="1" applyAlignment="1">
      <alignment horizontal="center" vertical="center"/>
    </xf>
    <xf numFmtId="0" fontId="26" fillId="8" borderId="24" xfId="5" applyFont="1" applyFill="1" applyBorder="1" applyAlignment="1">
      <alignment horizontal="center" vertical="center"/>
    </xf>
    <xf numFmtId="0" fontId="26" fillId="8" borderId="2" xfId="5" applyFont="1" applyFill="1" applyBorder="1" applyAlignment="1">
      <alignment horizontal="center" vertical="center"/>
    </xf>
    <xf numFmtId="0" fontId="26" fillId="8" borderId="26" xfId="5" applyFont="1" applyFill="1" applyBorder="1" applyAlignment="1">
      <alignment horizontal="center" vertical="center"/>
    </xf>
    <xf numFmtId="0" fontId="26" fillId="2" borderId="24" xfId="5" applyFont="1" applyFill="1" applyBorder="1" applyAlignment="1">
      <alignment horizontal="center" vertical="center"/>
    </xf>
    <xf numFmtId="0" fontId="26" fillId="2" borderId="2" xfId="5" applyFont="1" applyFill="1" applyBorder="1" applyAlignment="1">
      <alignment horizontal="center" vertical="center"/>
    </xf>
    <xf numFmtId="0" fontId="26" fillId="2" borderId="26" xfId="5" applyFont="1" applyFill="1" applyBorder="1" applyAlignment="1">
      <alignment horizontal="center" vertical="center"/>
    </xf>
    <xf numFmtId="0" fontId="26" fillId="5" borderId="24" xfId="5" applyFont="1" applyFill="1" applyBorder="1" applyAlignment="1">
      <alignment horizontal="center" vertical="center" wrapText="1"/>
    </xf>
    <xf numFmtId="0" fontId="26" fillId="5" borderId="2" xfId="5" applyFont="1" applyFill="1" applyBorder="1" applyAlignment="1">
      <alignment horizontal="center" vertical="center" wrapText="1"/>
    </xf>
    <xf numFmtId="0" fontId="26" fillId="5" borderId="3" xfId="5" applyFont="1" applyFill="1" applyBorder="1" applyAlignment="1">
      <alignment horizontal="center" vertical="center" wrapText="1"/>
    </xf>
    <xf numFmtId="164" fontId="26" fillId="2" borderId="1" xfId="2" applyNumberFormat="1" applyFont="1" applyFill="1" applyBorder="1" applyAlignment="1">
      <alignment horizontal="justify" vertical="center"/>
    </xf>
    <xf numFmtId="164" fontId="26" fillId="2" borderId="3" xfId="2" applyNumberFormat="1" applyFont="1" applyFill="1" applyBorder="1" applyAlignment="1">
      <alignment horizontal="justify" vertical="center"/>
    </xf>
    <xf numFmtId="0" fontId="34" fillId="2" borderId="24" xfId="5" applyFont="1" applyFill="1" applyBorder="1" applyAlignment="1">
      <alignment horizontal="center" vertical="center" wrapText="1"/>
    </xf>
    <xf numFmtId="0" fontId="34" fillId="2" borderId="2" xfId="5" applyFont="1" applyFill="1" applyBorder="1" applyAlignment="1">
      <alignment horizontal="center" vertical="center" wrapText="1"/>
    </xf>
    <xf numFmtId="0" fontId="34" fillId="2" borderId="26" xfId="5" applyFont="1" applyFill="1" applyBorder="1" applyAlignment="1">
      <alignment horizontal="center" vertical="center" wrapText="1"/>
    </xf>
    <xf numFmtId="0" fontId="26" fillId="6" borderId="24" xfId="5" applyFont="1" applyFill="1" applyBorder="1" applyAlignment="1">
      <alignment horizontal="center" vertical="center" wrapText="1"/>
    </xf>
    <xf numFmtId="0" fontId="26" fillId="6" borderId="2" xfId="5" applyFont="1" applyFill="1" applyBorder="1" applyAlignment="1">
      <alignment horizontal="center" vertical="center" wrapText="1"/>
    </xf>
    <xf numFmtId="0" fontId="26" fillId="6" borderId="22" xfId="5" applyFont="1" applyFill="1" applyBorder="1" applyAlignment="1">
      <alignment horizontal="center" vertical="center" wrapText="1"/>
    </xf>
    <xf numFmtId="0" fontId="26" fillId="6" borderId="7" xfId="5" applyFont="1" applyFill="1" applyBorder="1" applyAlignment="1">
      <alignment horizontal="center" vertical="center" wrapText="1"/>
    </xf>
    <xf numFmtId="0" fontId="26" fillId="6" borderId="8" xfId="5" applyFont="1" applyFill="1" applyBorder="1" applyAlignment="1">
      <alignment horizontal="center" vertical="center" wrapText="1"/>
    </xf>
    <xf numFmtId="0" fontId="26" fillId="2" borderId="22" xfId="3" applyFont="1" applyFill="1" applyBorder="1" applyAlignment="1">
      <alignment horizontal="center" vertical="center"/>
    </xf>
    <xf numFmtId="0" fontId="26" fillId="2" borderId="7" xfId="3" applyFont="1" applyFill="1" applyBorder="1" applyAlignment="1">
      <alignment horizontal="center" vertical="center"/>
    </xf>
    <xf numFmtId="0" fontId="26" fillId="2" borderId="30" xfId="3" applyFont="1" applyFill="1" applyBorder="1" applyAlignment="1">
      <alignment horizontal="center" vertical="center"/>
    </xf>
    <xf numFmtId="0" fontId="26" fillId="6" borderId="45" xfId="0" applyFont="1" applyFill="1" applyBorder="1" applyAlignment="1">
      <alignment horizontal="center" vertical="center"/>
    </xf>
    <xf numFmtId="0" fontId="26" fillId="6" borderId="46" xfId="0" applyFont="1" applyFill="1" applyBorder="1" applyAlignment="1">
      <alignment horizontal="center" vertical="center"/>
    </xf>
    <xf numFmtId="0" fontId="26" fillId="6" borderId="47" xfId="0" applyFont="1" applyFill="1" applyBorder="1" applyAlignment="1">
      <alignment horizontal="center" vertical="center"/>
    </xf>
    <xf numFmtId="0" fontId="25" fillId="2" borderId="1" xfId="3" applyFont="1" applyFill="1" applyBorder="1" applyAlignment="1">
      <alignment horizontal="center" vertical="center" wrapText="1"/>
    </xf>
    <xf numFmtId="0" fontId="25" fillId="2" borderId="2" xfId="3" applyFont="1" applyFill="1" applyBorder="1" applyAlignment="1">
      <alignment horizontal="center" vertical="center" wrapText="1"/>
    </xf>
    <xf numFmtId="0" fontId="25" fillId="2" borderId="26" xfId="3" applyFont="1" applyFill="1" applyBorder="1" applyAlignment="1">
      <alignment horizontal="center" vertical="center" wrapText="1"/>
    </xf>
    <xf numFmtId="164" fontId="26" fillId="2" borderId="1" xfId="2" applyNumberFormat="1" applyFont="1" applyFill="1" applyBorder="1" applyAlignment="1">
      <alignment horizontal="center" vertical="center"/>
    </xf>
    <xf numFmtId="164" fontId="26" fillId="2" borderId="3" xfId="2" applyNumberFormat="1" applyFont="1" applyFill="1" applyBorder="1" applyAlignment="1">
      <alignment horizontal="center" vertical="center"/>
    </xf>
    <xf numFmtId="0" fontId="26" fillId="2" borderId="24" xfId="3" applyFont="1" applyFill="1" applyBorder="1" applyAlignment="1">
      <alignment horizontal="center" vertical="center"/>
    </xf>
    <xf numFmtId="0" fontId="26" fillId="2" borderId="2" xfId="3" applyFont="1" applyFill="1" applyBorder="1" applyAlignment="1">
      <alignment horizontal="center" vertical="center"/>
    </xf>
    <xf numFmtId="0" fontId="26" fillId="2" borderId="26" xfId="3" applyFont="1" applyFill="1" applyBorder="1" applyAlignment="1">
      <alignment horizontal="center" vertical="center"/>
    </xf>
    <xf numFmtId="0" fontId="26" fillId="2" borderId="28" xfId="3" applyFont="1" applyFill="1" applyBorder="1" applyAlignment="1">
      <alignment horizontal="center" vertical="center"/>
    </xf>
    <xf numFmtId="0" fontId="26" fillId="2" borderId="6" xfId="3" applyFont="1" applyFill="1" applyBorder="1" applyAlignment="1">
      <alignment horizontal="center" vertical="center"/>
    </xf>
    <xf numFmtId="0" fontId="26" fillId="2" borderId="29" xfId="3" applyFont="1" applyFill="1" applyBorder="1" applyAlignment="1">
      <alignment horizontal="center" vertical="center"/>
    </xf>
    <xf numFmtId="0" fontId="25" fillId="2" borderId="1" xfId="4" applyFont="1" applyFill="1" applyBorder="1" applyAlignment="1">
      <alignment horizontal="center" vertical="center" wrapText="1"/>
    </xf>
    <xf numFmtId="0" fontId="25" fillId="2" borderId="2" xfId="4" applyFont="1" applyFill="1" applyBorder="1" applyAlignment="1">
      <alignment horizontal="center" vertical="center" wrapText="1"/>
    </xf>
    <xf numFmtId="0" fontId="25" fillId="2" borderId="26" xfId="4" applyFont="1" applyFill="1" applyBorder="1" applyAlignment="1">
      <alignment horizontal="center" vertical="center" wrapText="1"/>
    </xf>
    <xf numFmtId="0" fontId="25" fillId="2" borderId="1" xfId="0" applyFont="1" applyFill="1" applyBorder="1" applyAlignment="1">
      <alignment horizontal="justify" vertical="center"/>
    </xf>
    <xf numFmtId="0" fontId="25" fillId="2" borderId="3" xfId="0" applyFont="1" applyFill="1" applyBorder="1" applyAlignment="1">
      <alignment horizontal="justify" vertical="center"/>
    </xf>
    <xf numFmtId="164" fontId="28" fillId="2" borderId="1" xfId="2" applyNumberFormat="1" applyFont="1" applyFill="1" applyBorder="1" applyAlignment="1">
      <alignment horizontal="justify" vertical="center"/>
    </xf>
    <xf numFmtId="164" fontId="28" fillId="2" borderId="3" xfId="2" applyNumberFormat="1" applyFont="1" applyFill="1" applyBorder="1" applyAlignment="1">
      <alignment horizontal="justify" vertical="center"/>
    </xf>
    <xf numFmtId="0" fontId="26" fillId="2" borderId="24" xfId="5" applyFont="1" applyFill="1" applyBorder="1" applyAlignment="1">
      <alignment horizontal="center" vertical="center" wrapText="1"/>
    </xf>
    <xf numFmtId="0" fontId="26" fillId="2" borderId="2" xfId="5" applyFont="1" applyFill="1" applyBorder="1" applyAlignment="1">
      <alignment horizontal="center" vertical="center" wrapText="1"/>
    </xf>
    <xf numFmtId="0" fontId="26" fillId="2" borderId="3" xfId="5" applyFont="1" applyFill="1" applyBorder="1" applyAlignment="1">
      <alignment horizontal="center" vertical="center" wrapText="1"/>
    </xf>
    <xf numFmtId="0" fontId="26" fillId="2" borderId="1" xfId="0" applyFont="1" applyFill="1" applyBorder="1" applyAlignment="1">
      <alignment horizontal="center" vertical="center"/>
    </xf>
    <xf numFmtId="0" fontId="26" fillId="2" borderId="2" xfId="0" applyFont="1" applyFill="1" applyBorder="1" applyAlignment="1">
      <alignment horizontal="center" vertical="center"/>
    </xf>
    <xf numFmtId="0" fontId="26" fillId="2" borderId="26" xfId="0" applyFont="1" applyFill="1" applyBorder="1" applyAlignment="1">
      <alignment horizontal="center" vertical="center"/>
    </xf>
    <xf numFmtId="0" fontId="26" fillId="4" borderId="24" xfId="5" applyFont="1" applyFill="1" applyBorder="1" applyAlignment="1">
      <alignment horizontal="center" vertical="center"/>
    </xf>
    <xf numFmtId="0" fontId="26" fillId="4" borderId="2" xfId="5" applyFont="1" applyFill="1" applyBorder="1" applyAlignment="1">
      <alignment horizontal="center" vertical="center"/>
    </xf>
    <xf numFmtId="0" fontId="26" fillId="4" borderId="26" xfId="5" applyFont="1" applyFill="1" applyBorder="1" applyAlignment="1">
      <alignment horizontal="center" vertical="center"/>
    </xf>
    <xf numFmtId="0" fontId="26" fillId="4" borderId="19" xfId="3" applyFont="1" applyFill="1" applyBorder="1" applyAlignment="1">
      <alignment horizontal="center" vertical="center" wrapText="1"/>
    </xf>
    <xf numFmtId="0" fontId="26" fillId="4" borderId="40" xfId="3" applyFont="1" applyFill="1" applyBorder="1" applyAlignment="1">
      <alignment horizontal="center" vertical="center" wrapText="1"/>
    </xf>
    <xf numFmtId="0" fontId="26" fillId="4" borderId="18" xfId="3" applyFont="1" applyFill="1" applyBorder="1" applyAlignment="1">
      <alignment horizontal="center" vertical="center" wrapText="1"/>
    </xf>
    <xf numFmtId="0" fontId="26" fillId="2" borderId="1" xfId="3" applyFont="1" applyFill="1" applyBorder="1" applyAlignment="1">
      <alignment horizontal="center" vertical="center" wrapText="1"/>
    </xf>
    <xf numFmtId="0" fontId="26" fillId="2" borderId="2" xfId="3" applyFont="1" applyFill="1" applyBorder="1" applyAlignment="1">
      <alignment horizontal="center" vertical="center" wrapText="1"/>
    </xf>
    <xf numFmtId="0" fontId="26" fillId="2" borderId="26" xfId="3" applyFont="1" applyFill="1" applyBorder="1" applyAlignment="1">
      <alignment horizontal="center" vertical="center" wrapText="1"/>
    </xf>
    <xf numFmtId="0" fontId="26" fillId="2" borderId="37" xfId="3" applyFont="1" applyFill="1" applyBorder="1" applyAlignment="1">
      <alignment horizontal="center" vertical="center"/>
    </xf>
    <xf numFmtId="0" fontId="26" fillId="2" borderId="38" xfId="3" applyFont="1" applyFill="1" applyBorder="1" applyAlignment="1">
      <alignment horizontal="center" vertical="center"/>
    </xf>
    <xf numFmtId="0" fontId="26" fillId="2" borderId="39" xfId="3" applyFont="1" applyFill="1" applyBorder="1" applyAlignment="1">
      <alignment horizontal="center" vertical="center"/>
    </xf>
    <xf numFmtId="0" fontId="26" fillId="5" borderId="32" xfId="5" applyFont="1" applyFill="1" applyBorder="1" applyAlignment="1">
      <alignment horizontal="center" vertical="center" wrapText="1"/>
    </xf>
    <xf numFmtId="0" fontId="26" fillId="5" borderId="33" xfId="5" applyFont="1" applyFill="1" applyBorder="1" applyAlignment="1">
      <alignment horizontal="center" vertical="center" wrapText="1"/>
    </xf>
    <xf numFmtId="0" fontId="26" fillId="5" borderId="34" xfId="5" applyFont="1" applyFill="1" applyBorder="1" applyAlignment="1">
      <alignment horizontal="center" vertical="center" wrapText="1"/>
    </xf>
    <xf numFmtId="0" fontId="20" fillId="0" borderId="0" xfId="0" applyFont="1" applyAlignment="1">
      <alignment horizontal="center" vertical="center"/>
    </xf>
    <xf numFmtId="0" fontId="26" fillId="0" borderId="27" xfId="5" applyFont="1" applyBorder="1" applyAlignment="1">
      <alignment horizontal="center" vertical="center" wrapText="1"/>
    </xf>
    <xf numFmtId="0" fontId="26" fillId="0" borderId="31" xfId="5" applyFont="1" applyBorder="1" applyAlignment="1">
      <alignment horizontal="center" vertical="center" wrapText="1"/>
    </xf>
    <xf numFmtId="0" fontId="26" fillId="5" borderId="37" xfId="5" applyFont="1" applyFill="1" applyBorder="1" applyAlignment="1">
      <alignment horizontal="center" vertical="center" wrapText="1"/>
    </xf>
    <xf numFmtId="0" fontId="26" fillId="5" borderId="38" xfId="5" applyFont="1" applyFill="1" applyBorder="1" applyAlignment="1">
      <alignment horizontal="center" vertical="center" wrapText="1"/>
    </xf>
    <xf numFmtId="0" fontId="26" fillId="5" borderId="42" xfId="5" applyFont="1" applyFill="1" applyBorder="1" applyAlignment="1">
      <alignment horizontal="center" vertical="center" wrapText="1"/>
    </xf>
    <xf numFmtId="0" fontId="26" fillId="3" borderId="24" xfId="5" applyFont="1" applyFill="1" applyBorder="1" applyAlignment="1">
      <alignment horizontal="center" vertical="center" wrapText="1"/>
    </xf>
    <xf numFmtId="0" fontId="26" fillId="3" borderId="2" xfId="5" applyFont="1" applyFill="1" applyBorder="1" applyAlignment="1">
      <alignment horizontal="center" vertical="center" wrapText="1"/>
    </xf>
    <xf numFmtId="0" fontId="26" fillId="3" borderId="3" xfId="5" applyFont="1" applyFill="1" applyBorder="1" applyAlignment="1">
      <alignment horizontal="center" vertical="center" wrapText="1"/>
    </xf>
    <xf numFmtId="0" fontId="25" fillId="0" borderId="1" xfId="5" applyFont="1" applyBorder="1" applyAlignment="1">
      <alignment vertical="center" wrapText="1"/>
    </xf>
    <xf numFmtId="0" fontId="25" fillId="0" borderId="2" xfId="5" applyFont="1" applyBorder="1" applyAlignment="1">
      <alignment vertical="center" wrapText="1"/>
    </xf>
    <xf numFmtId="0" fontId="25" fillId="0" borderId="3" xfId="5" applyFont="1" applyBorder="1" applyAlignment="1">
      <alignment vertical="center" wrapText="1"/>
    </xf>
    <xf numFmtId="0" fontId="25" fillId="0" borderId="1" xfId="5" applyFont="1" applyBorder="1" applyAlignment="1">
      <alignment horizontal="left" vertical="center" wrapText="1"/>
    </xf>
    <xf numFmtId="0" fontId="25" fillId="0" borderId="2" xfId="5" applyFont="1" applyBorder="1" applyAlignment="1">
      <alignment horizontal="left" vertical="center" wrapText="1"/>
    </xf>
    <xf numFmtId="0" fontId="25" fillId="0" borderId="3" xfId="5" applyFont="1" applyBorder="1" applyAlignment="1">
      <alignment horizontal="left" vertical="center" wrapText="1"/>
    </xf>
    <xf numFmtId="0" fontId="26" fillId="0" borderId="24" xfId="5" applyFont="1" applyBorder="1" applyAlignment="1">
      <alignment horizontal="center" vertical="center" wrapText="1"/>
    </xf>
    <xf numFmtId="0" fontId="26" fillId="0" borderId="2" xfId="5" applyFont="1" applyBorder="1" applyAlignment="1">
      <alignment horizontal="center" vertical="center" wrapText="1"/>
    </xf>
    <xf numFmtId="0" fontId="26" fillId="0" borderId="3" xfId="5" applyFont="1" applyBorder="1" applyAlignment="1">
      <alignment horizontal="center" vertical="center" wrapText="1"/>
    </xf>
    <xf numFmtId="0" fontId="26" fillId="0" borderId="54" xfId="0" applyFont="1" applyBorder="1" applyAlignment="1">
      <alignment horizontal="left" vertical="center"/>
    </xf>
    <xf numFmtId="0" fontId="26" fillId="0" borderId="13" xfId="0" applyFont="1" applyBorder="1" applyAlignment="1">
      <alignment horizontal="left" vertical="center"/>
    </xf>
    <xf numFmtId="165" fontId="26" fillId="2" borderId="1" xfId="1" applyNumberFormat="1" applyFont="1" applyFill="1" applyBorder="1" applyAlignment="1">
      <alignment horizontal="center" vertical="center" wrapText="1"/>
    </xf>
    <xf numFmtId="165" fontId="26" fillId="2" borderId="2" xfId="1" applyNumberFormat="1" applyFont="1" applyFill="1" applyBorder="1" applyAlignment="1">
      <alignment horizontal="center" vertical="center" wrapText="1"/>
    </xf>
    <xf numFmtId="165" fontId="26" fillId="2" borderId="26" xfId="1" applyNumberFormat="1" applyFont="1" applyFill="1" applyBorder="1" applyAlignment="1">
      <alignment horizontal="center" vertical="center" wrapText="1"/>
    </xf>
    <xf numFmtId="0" fontId="26" fillId="4" borderId="24" xfId="5" applyFont="1" applyFill="1" applyBorder="1" applyAlignment="1">
      <alignment horizontal="center" vertical="center" wrapText="1"/>
    </xf>
    <xf numFmtId="0" fontId="26" fillId="4" borderId="2" xfId="5" applyFont="1" applyFill="1" applyBorder="1" applyAlignment="1">
      <alignment horizontal="center" vertical="center" wrapText="1"/>
    </xf>
    <xf numFmtId="0" fontId="26" fillId="4" borderId="3" xfId="5" applyFont="1" applyFill="1" applyBorder="1" applyAlignment="1">
      <alignment horizontal="center" vertical="center" wrapText="1"/>
    </xf>
    <xf numFmtId="0" fontId="26" fillId="6" borderId="3" xfId="5" applyFont="1" applyFill="1" applyBorder="1" applyAlignment="1">
      <alignment horizontal="center" vertical="center" wrapText="1"/>
    </xf>
    <xf numFmtId="0" fontId="26" fillId="2" borderId="1" xfId="5" applyFont="1" applyFill="1" applyBorder="1" applyAlignment="1">
      <alignment horizontal="left" vertical="center" wrapText="1"/>
    </xf>
    <xf numFmtId="0" fontId="26" fillId="2" borderId="2" xfId="5" applyFont="1" applyFill="1" applyBorder="1" applyAlignment="1">
      <alignment horizontal="left" vertical="center" wrapText="1"/>
    </xf>
    <xf numFmtId="0" fontId="26" fillId="2" borderId="3" xfId="5" applyFont="1" applyFill="1" applyBorder="1" applyAlignment="1">
      <alignment horizontal="left" vertical="center" wrapText="1"/>
    </xf>
    <xf numFmtId="0" fontId="0" fillId="0" borderId="36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50" xfId="0" applyFont="1" applyBorder="1" applyAlignment="1">
      <alignment horizontal="left" vertical="center" wrapText="1"/>
    </xf>
    <xf numFmtId="0" fontId="0" fillId="0" borderId="19" xfId="0" applyFont="1" applyBorder="1" applyAlignment="1">
      <alignment horizontal="left" vertical="center" wrapText="1"/>
    </xf>
    <xf numFmtId="0" fontId="0" fillId="0" borderId="40" xfId="0" applyFont="1" applyBorder="1" applyAlignment="1">
      <alignment horizontal="left" vertical="center" wrapText="1"/>
    </xf>
    <xf numFmtId="0" fontId="0" fillId="0" borderId="18" xfId="0" applyFont="1" applyBorder="1" applyAlignment="1">
      <alignment horizontal="left" vertical="center" wrapText="1"/>
    </xf>
    <xf numFmtId="0" fontId="2" fillId="2" borderId="10" xfId="0" applyFont="1" applyFill="1" applyBorder="1" applyAlignment="1">
      <alignment horizontal="center"/>
    </xf>
    <xf numFmtId="0" fontId="2" fillId="2" borderId="56" xfId="0" applyFont="1" applyFill="1" applyBorder="1" applyAlignment="1">
      <alignment horizontal="center"/>
    </xf>
    <xf numFmtId="0" fontId="2" fillId="2" borderId="57" xfId="0" applyFont="1" applyFill="1" applyBorder="1" applyAlignment="1">
      <alignment horizontal="center"/>
    </xf>
    <xf numFmtId="0" fontId="2" fillId="7" borderId="12" xfId="0" applyFont="1" applyFill="1" applyBorder="1" applyAlignment="1">
      <alignment horizontal="center" vertical="center"/>
    </xf>
    <xf numFmtId="0" fontId="2" fillId="7" borderId="11" xfId="0" applyFont="1" applyFill="1" applyBorder="1" applyAlignment="1">
      <alignment horizontal="center" vertical="center"/>
    </xf>
    <xf numFmtId="0" fontId="2" fillId="7" borderId="13" xfId="0" applyFont="1" applyFill="1" applyBorder="1" applyAlignment="1">
      <alignment horizontal="center" vertical="center"/>
    </xf>
    <xf numFmtId="0" fontId="2" fillId="5" borderId="48" xfId="0" applyFont="1" applyFill="1" applyBorder="1" applyAlignment="1">
      <alignment horizontal="center" vertical="center"/>
    </xf>
    <xf numFmtId="0" fontId="2" fillId="5" borderId="49" xfId="0" applyFont="1" applyFill="1" applyBorder="1" applyAlignment="1">
      <alignment horizontal="center" vertical="center"/>
    </xf>
    <xf numFmtId="0" fontId="2" fillId="5" borderId="51" xfId="0" applyFont="1" applyFill="1" applyBorder="1" applyAlignment="1">
      <alignment horizontal="center" vertical="center"/>
    </xf>
    <xf numFmtId="0" fontId="2" fillId="7" borderId="45" xfId="0" applyFont="1" applyFill="1" applyBorder="1" applyAlignment="1">
      <alignment horizontal="center" vertical="center"/>
    </xf>
    <xf numFmtId="0" fontId="2" fillId="7" borderId="46" xfId="0" applyFont="1" applyFill="1" applyBorder="1" applyAlignment="1">
      <alignment horizontal="center" vertical="center"/>
    </xf>
    <xf numFmtId="0" fontId="2" fillId="7" borderId="47" xfId="0" applyFont="1" applyFill="1" applyBorder="1" applyAlignment="1">
      <alignment horizontal="center" vertical="center"/>
    </xf>
    <xf numFmtId="0" fontId="0" fillId="5" borderId="24" xfId="0" applyFont="1" applyFill="1" applyBorder="1" applyAlignment="1">
      <alignment horizontal="center" vertical="center"/>
    </xf>
    <xf numFmtId="0" fontId="0" fillId="5" borderId="2" xfId="0" applyFont="1" applyFill="1" applyBorder="1" applyAlignment="1">
      <alignment horizontal="center" vertical="center"/>
    </xf>
    <xf numFmtId="0" fontId="0" fillId="5" borderId="3" xfId="0" applyFont="1" applyFill="1" applyBorder="1" applyAlignment="1">
      <alignment horizontal="center" vertical="center"/>
    </xf>
    <xf numFmtId="0" fontId="25" fillId="0" borderId="27" xfId="14" applyFont="1" applyBorder="1" applyAlignment="1">
      <alignment horizontal="center" vertical="top" wrapText="1"/>
    </xf>
    <xf numFmtId="0" fontId="25" fillId="0" borderId="4" xfId="14" applyFont="1" applyBorder="1" applyAlignment="1">
      <alignment horizontal="center" vertical="top" wrapText="1"/>
    </xf>
    <xf numFmtId="0" fontId="25" fillId="0" borderId="25" xfId="14" applyFont="1" applyBorder="1" applyAlignment="1">
      <alignment horizontal="center" vertical="top" wrapText="1"/>
    </xf>
    <xf numFmtId="0" fontId="25" fillId="0" borderId="48" xfId="14" applyFont="1" applyBorder="1" applyAlignment="1">
      <alignment horizontal="center" vertical="top" wrapText="1"/>
    </xf>
    <xf numFmtId="0" fontId="25" fillId="0" borderId="49" xfId="14" applyFont="1" applyBorder="1" applyAlignment="1">
      <alignment horizontal="center" vertical="top" wrapText="1"/>
    </xf>
    <xf numFmtId="0" fontId="25" fillId="0" borderId="35" xfId="14" applyFont="1" applyBorder="1" applyAlignment="1">
      <alignment horizontal="center" vertical="top" wrapText="1"/>
    </xf>
    <xf numFmtId="0" fontId="35" fillId="2" borderId="27" xfId="14" applyFont="1" applyFill="1" applyBorder="1" applyAlignment="1">
      <alignment horizontal="center" vertical="top" wrapText="1"/>
    </xf>
    <xf numFmtId="0" fontId="35" fillId="2" borderId="4" xfId="14" applyFont="1" applyFill="1" applyBorder="1" applyAlignment="1">
      <alignment horizontal="center" vertical="top" wrapText="1"/>
    </xf>
    <xf numFmtId="0" fontId="35" fillId="2" borderId="25" xfId="14" applyFont="1" applyFill="1" applyBorder="1" applyAlignment="1">
      <alignment horizontal="center" vertical="top" wrapText="1"/>
    </xf>
    <xf numFmtId="0" fontId="35" fillId="0" borderId="27" xfId="14" applyFont="1" applyBorder="1" applyAlignment="1">
      <alignment horizontal="center" vertical="top" wrapText="1"/>
    </xf>
    <xf numFmtId="0" fontId="35" fillId="0" borderId="4" xfId="14" applyFont="1" applyBorder="1" applyAlignment="1">
      <alignment horizontal="center" vertical="top" wrapText="1"/>
    </xf>
    <xf numFmtId="0" fontId="35" fillId="0" borderId="25" xfId="14" applyFont="1" applyBorder="1" applyAlignment="1">
      <alignment horizontal="center" vertical="top" wrapText="1"/>
    </xf>
    <xf numFmtId="0" fontId="26" fillId="7" borderId="12" xfId="0" applyFont="1" applyFill="1" applyBorder="1" applyAlignment="1">
      <alignment horizontal="center" vertical="center"/>
    </xf>
    <xf numFmtId="0" fontId="26" fillId="7" borderId="11" xfId="0" applyFont="1" applyFill="1" applyBorder="1" applyAlignment="1">
      <alignment horizontal="center" vertical="center"/>
    </xf>
    <xf numFmtId="0" fontId="26" fillId="7" borderId="13" xfId="0" applyFont="1" applyFill="1" applyBorder="1" applyAlignment="1">
      <alignment horizontal="center" vertical="center"/>
    </xf>
    <xf numFmtId="0" fontId="26" fillId="7" borderId="37" xfId="0" applyFont="1" applyFill="1" applyBorder="1" applyAlignment="1">
      <alignment horizontal="center" vertical="center"/>
    </xf>
    <xf numFmtId="0" fontId="26" fillId="7" borderId="38" xfId="0" applyFont="1" applyFill="1" applyBorder="1" applyAlignment="1">
      <alignment horizontal="center" vertical="center"/>
    </xf>
    <xf numFmtId="0" fontId="26" fillId="7" borderId="39" xfId="0" applyFont="1" applyFill="1" applyBorder="1" applyAlignment="1">
      <alignment horizontal="center" vertical="center"/>
    </xf>
    <xf numFmtId="0" fontId="26" fillId="7" borderId="28" xfId="0" applyFont="1" applyFill="1" applyBorder="1" applyAlignment="1">
      <alignment horizontal="center" vertical="center"/>
    </xf>
    <xf numFmtId="0" fontId="26" fillId="7" borderId="6" xfId="0" applyFont="1" applyFill="1" applyBorder="1" applyAlignment="1">
      <alignment horizontal="center" vertical="center"/>
    </xf>
    <xf numFmtId="0" fontId="25" fillId="5" borderId="24" xfId="0" applyFont="1" applyFill="1" applyBorder="1" applyAlignment="1">
      <alignment horizontal="center" vertical="center"/>
    </xf>
    <xf numFmtId="0" fontId="25" fillId="5" borderId="2" xfId="0" applyFont="1" applyFill="1" applyBorder="1" applyAlignment="1">
      <alignment horizontal="center" vertical="center"/>
    </xf>
    <xf numFmtId="0" fontId="25" fillId="5" borderId="3" xfId="0" applyFont="1" applyFill="1" applyBorder="1" applyAlignment="1">
      <alignment horizontal="center" vertical="center"/>
    </xf>
    <xf numFmtId="0" fontId="26" fillId="7" borderId="24" xfId="0" applyFont="1" applyFill="1" applyBorder="1" applyAlignment="1">
      <alignment horizontal="center" vertical="center"/>
    </xf>
    <xf numFmtId="0" fontId="26" fillId="7" borderId="2" xfId="0" applyFont="1" applyFill="1" applyBorder="1" applyAlignment="1">
      <alignment horizontal="center" vertical="center"/>
    </xf>
    <xf numFmtId="0" fontId="26" fillId="7" borderId="26" xfId="0" applyFont="1" applyFill="1" applyBorder="1" applyAlignment="1">
      <alignment horizontal="center" vertical="center"/>
    </xf>
    <xf numFmtId="0" fontId="26" fillId="7" borderId="24" xfId="0" applyFont="1" applyFill="1" applyBorder="1" applyAlignment="1">
      <alignment horizontal="center" vertical="center" wrapText="1"/>
    </xf>
    <xf numFmtId="0" fontId="26" fillId="7" borderId="2" xfId="0" applyFont="1" applyFill="1" applyBorder="1" applyAlignment="1">
      <alignment horizontal="center" vertical="center" wrapText="1"/>
    </xf>
    <xf numFmtId="0" fontId="26" fillId="7" borderId="26" xfId="0" applyFont="1" applyFill="1" applyBorder="1" applyAlignment="1">
      <alignment horizontal="center" vertical="center" wrapText="1"/>
    </xf>
    <xf numFmtId="0" fontId="36" fillId="0" borderId="21" xfId="14" applyFont="1" applyBorder="1" applyAlignment="1">
      <alignment horizontal="center" vertical="top"/>
    </xf>
    <xf numFmtId="0" fontId="36" fillId="0" borderId="44" xfId="14" applyFont="1" applyBorder="1" applyAlignment="1">
      <alignment horizontal="center" vertical="top"/>
    </xf>
    <xf numFmtId="0" fontId="36" fillId="0" borderId="20" xfId="14" applyFont="1" applyBorder="1" applyAlignment="1">
      <alignment horizontal="center" vertical="top"/>
    </xf>
    <xf numFmtId="0" fontId="35" fillId="0" borderId="45" xfId="14" applyFont="1" applyBorder="1" applyAlignment="1">
      <alignment horizontal="center" vertical="top" wrapText="1"/>
    </xf>
    <xf numFmtId="0" fontId="35" fillId="0" borderId="46" xfId="14" applyFont="1" applyBorder="1" applyAlignment="1">
      <alignment horizontal="center" vertical="top" wrapText="1"/>
    </xf>
    <xf numFmtId="0" fontId="35" fillId="0" borderId="47" xfId="14" applyFont="1" applyBorder="1" applyAlignment="1">
      <alignment horizontal="center" vertical="top" wrapText="1"/>
    </xf>
    <xf numFmtId="0" fontId="25" fillId="2" borderId="27" xfId="14" applyFont="1" applyFill="1" applyBorder="1" applyAlignment="1">
      <alignment horizontal="center" vertical="top" wrapText="1"/>
    </xf>
    <xf numFmtId="0" fontId="25" fillId="2" borderId="4" xfId="14" applyFont="1" applyFill="1" applyBorder="1" applyAlignment="1">
      <alignment horizontal="center" vertical="top" wrapText="1"/>
    </xf>
    <xf numFmtId="0" fontId="25" fillId="2" borderId="25" xfId="14" applyFont="1" applyFill="1" applyBorder="1" applyAlignment="1">
      <alignment horizontal="center" vertical="top" wrapText="1"/>
    </xf>
    <xf numFmtId="0" fontId="26" fillId="7" borderId="21" xfId="0" applyFont="1" applyFill="1" applyBorder="1" applyAlignment="1">
      <alignment horizontal="center" vertical="center"/>
    </xf>
    <xf numFmtId="0" fontId="26" fillId="7" borderId="44" xfId="0" applyFont="1" applyFill="1" applyBorder="1" applyAlignment="1">
      <alignment horizontal="center" vertical="center"/>
    </xf>
    <xf numFmtId="0" fontId="26" fillId="7" borderId="20" xfId="0" applyFont="1" applyFill="1" applyBorder="1" applyAlignment="1">
      <alignment horizontal="center" vertical="center"/>
    </xf>
    <xf numFmtId="0" fontId="26" fillId="7" borderId="32" xfId="0" applyFont="1" applyFill="1" applyBorder="1" applyAlignment="1">
      <alignment horizontal="center" vertical="center"/>
    </xf>
    <xf numFmtId="0" fontId="26" fillId="7" borderId="33" xfId="0" applyFont="1" applyFill="1" applyBorder="1" applyAlignment="1">
      <alignment horizontal="center" vertical="center"/>
    </xf>
    <xf numFmtId="0" fontId="26" fillId="7" borderId="22" xfId="0" applyFont="1" applyFill="1" applyBorder="1" applyAlignment="1">
      <alignment horizontal="center" vertical="center"/>
    </xf>
    <xf numFmtId="0" fontId="26" fillId="7" borderId="7" xfId="0" applyFont="1" applyFill="1" applyBorder="1" applyAlignment="1">
      <alignment horizontal="center" vertical="center"/>
    </xf>
    <xf numFmtId="0" fontId="26" fillId="7" borderId="30" xfId="0" applyFont="1" applyFill="1" applyBorder="1" applyAlignment="1">
      <alignment horizontal="center" vertical="center"/>
    </xf>
    <xf numFmtId="0" fontId="25" fillId="5" borderId="22" xfId="0" applyFont="1" applyFill="1" applyBorder="1" applyAlignment="1">
      <alignment horizontal="center" vertical="center"/>
    </xf>
    <xf numFmtId="0" fontId="25" fillId="5" borderId="7" xfId="0" applyFont="1" applyFill="1" applyBorder="1" applyAlignment="1">
      <alignment horizontal="center" vertical="center"/>
    </xf>
    <xf numFmtId="0" fontId="25" fillId="5" borderId="8" xfId="0" applyFont="1" applyFill="1" applyBorder="1" applyAlignment="1">
      <alignment horizontal="center" vertical="center"/>
    </xf>
    <xf numFmtId="165" fontId="0" fillId="2" borderId="4" xfId="10" applyNumberFormat="1" applyFont="1" applyFill="1" applyBorder="1" applyAlignment="1">
      <alignment horizontal="center" vertical="center"/>
    </xf>
  </cellXfs>
  <cellStyles count="15">
    <cellStyle name="Hiperlink" xfId="6" builtinId="8"/>
    <cellStyle name="Moeda" xfId="1" builtinId="4"/>
    <cellStyle name="Moeda 2" xfId="11"/>
    <cellStyle name="Moeda 3" xfId="8"/>
    <cellStyle name="Normal" xfId="0" builtinId="0"/>
    <cellStyle name="Normal 2" xfId="5"/>
    <cellStyle name="Normal 3" xfId="10"/>
    <cellStyle name="Normal 4" xfId="3"/>
    <cellStyle name="Normal 5" xfId="4"/>
    <cellStyle name="Normal 6" xfId="13"/>
    <cellStyle name="Normal 6 2" xfId="14"/>
    <cellStyle name="Porcentagem" xfId="2" builtinId="5"/>
    <cellStyle name="Vírgula" xfId="7" builtinId="3"/>
    <cellStyle name="Vírgula 2" xfId="12"/>
    <cellStyle name="Vírgula 3" xfId="9"/>
  </cellStyles>
  <dxfs count="6"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indexed="10"/>
        <name val="Trebuchet MS"/>
        <scheme val="none"/>
      </font>
      <fill>
        <patternFill patternType="none">
          <fgColor indexed="64"/>
          <bgColor indexed="65"/>
        </patternFill>
      </fill>
      <alignment horizontal="justify" vertical="center" textRotation="0" wrapText="1" indent="0" justifyLastLine="0" shrinkToFit="0" readingOrder="0"/>
      <border diagonalUp="0" diagonalDown="0">
        <left style="medium">
          <color indexed="64"/>
        </left>
        <right/>
        <top style="medium">
          <color indexed="64"/>
        </top>
        <bottom style="medium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indexed="10"/>
        <name val="Trebuchet MS"/>
        <scheme val="none"/>
      </font>
      <fill>
        <patternFill patternType="none">
          <fgColor indexed="64"/>
          <bgColor indexed="65"/>
        </patternFill>
      </fill>
      <alignment horizontal="justify" vertical="center" textRotation="0" wrapText="1" indent="0" justifyLastLine="0" shrinkToFit="0" readingOrder="0"/>
      <border diagonalUp="0" diagonalDown="0">
        <left/>
        <right style="medium">
          <color indexed="64"/>
        </right>
        <top style="medium">
          <color indexed="64"/>
        </top>
        <bottom style="medium">
          <color indexed="64"/>
        </bottom>
        <vertical/>
        <horizontal/>
      </border>
    </dxf>
    <dxf>
      <border outline="0">
        <top style="medium">
          <color indexed="64"/>
        </top>
      </border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indexed="10"/>
        <name val="Trebuchet MS"/>
        <scheme val="none"/>
      </font>
      <fill>
        <patternFill patternType="none">
          <fgColor indexed="64"/>
          <bgColor indexed="65"/>
        </patternFill>
      </fill>
      <alignment horizontal="justify" vertical="center" textRotation="0" wrapText="1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ables/table1.xml><?xml version="1.0" encoding="utf-8"?>
<table xmlns="http://schemas.openxmlformats.org/spreadsheetml/2006/main" id="1" name="Tabela2" displayName="Tabela2" ref="A3:B22" totalsRowShown="0" headerRowDxfId="5" headerRowBorderDxfId="4" tableBorderDxfId="3" totalsRowBorderDxfId="2">
  <autoFilter ref="A3:B22"/>
  <tableColumns count="2">
    <tableColumn id="1" name="Colunas1" dataDxfId="1"/>
    <tableColumn id="2" name="Colunas2" dataDxfId="0"/>
  </tableColumns>
  <tableStyleInfo name="TableStyleLight5" showFirstColumn="0" showLastColumn="0" showRowStripes="1" showColumnStripes="0"/>
</table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../../../../../../../../../../../../../../../../../../AppData/Local/Temp/17%20Instrucao%20Normativa%2002_2008%20Servicos%20Continuados/0%20LEGISLACAO%20GERAL/IN%2003_2005%20MSP_SRP/AnexoII_IN03.rtf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0"/>
  <sheetViews>
    <sheetView topLeftCell="B1" zoomScale="145" zoomScaleNormal="145" workbookViewId="0">
      <selection activeCell="E8" sqref="E8"/>
    </sheetView>
  </sheetViews>
  <sheetFormatPr defaultRowHeight="15" x14ac:dyDescent="0.25"/>
  <cols>
    <col min="1" max="1" width="33.85546875" customWidth="1"/>
    <col min="2" max="2" width="15.42578125" customWidth="1"/>
    <col min="3" max="3" width="19.28515625" customWidth="1"/>
    <col min="5" max="5" width="59" customWidth="1"/>
  </cols>
  <sheetData>
    <row r="1" spans="1:5" ht="22.5" x14ac:dyDescent="0.25">
      <c r="E1" s="1" t="s">
        <v>52</v>
      </c>
    </row>
    <row r="2" spans="1:5" ht="21" x14ac:dyDescent="0.35">
      <c r="A2" s="229" t="s">
        <v>53</v>
      </c>
      <c r="B2" s="229"/>
      <c r="C2" s="229"/>
      <c r="E2" s="2" t="s">
        <v>54</v>
      </c>
    </row>
    <row r="3" spans="1:5" ht="174" customHeight="1" x14ac:dyDescent="0.3">
      <c r="A3" s="228" t="s">
        <v>55</v>
      </c>
      <c r="B3" s="228"/>
      <c r="C3" s="228"/>
      <c r="E3" s="4" t="s">
        <v>56</v>
      </c>
    </row>
    <row r="4" spans="1:5" ht="18.75" customHeight="1" thickBot="1" x14ac:dyDescent="0.35">
      <c r="A4" s="5"/>
      <c r="E4" s="6"/>
    </row>
    <row r="5" spans="1:5" ht="15.75" customHeight="1" thickBot="1" x14ac:dyDescent="0.3">
      <c r="A5" s="230" t="s">
        <v>57</v>
      </c>
      <c r="B5" s="231"/>
      <c r="C5" s="232"/>
      <c r="E5" s="7" t="s">
        <v>58</v>
      </c>
    </row>
    <row r="6" spans="1:5" ht="22.5" x14ac:dyDescent="0.25">
      <c r="A6" s="233" t="s">
        <v>59</v>
      </c>
      <c r="B6" s="233" t="s">
        <v>60</v>
      </c>
      <c r="C6" s="8" t="s">
        <v>61</v>
      </c>
      <c r="E6" s="7" t="s">
        <v>62</v>
      </c>
    </row>
    <row r="7" spans="1:5" ht="15.75" customHeight="1" thickBot="1" x14ac:dyDescent="0.3">
      <c r="A7" s="234"/>
      <c r="B7" s="234"/>
      <c r="C7" s="9" t="s">
        <v>63</v>
      </c>
      <c r="E7" s="7" t="s">
        <v>64</v>
      </c>
    </row>
    <row r="8" spans="1:5" ht="15.75" thickBot="1" x14ac:dyDescent="0.3">
      <c r="A8" s="10" t="s">
        <v>65</v>
      </c>
      <c r="B8" s="8">
        <v>30</v>
      </c>
      <c r="C8" s="8">
        <v>7</v>
      </c>
      <c r="D8">
        <f>(7/30)/12</f>
        <v>1.94444444444444E-2</v>
      </c>
      <c r="E8" s="11" t="s">
        <v>66</v>
      </c>
    </row>
    <row r="9" spans="1:5" ht="13.5" customHeight="1" x14ac:dyDescent="0.25">
      <c r="A9" s="12" t="s">
        <v>67</v>
      </c>
      <c r="B9" s="13">
        <v>33</v>
      </c>
      <c r="C9" s="13">
        <v>8</v>
      </c>
      <c r="D9">
        <f>(3/30)/12</f>
        <v>8.3333333333333297E-3</v>
      </c>
    </row>
    <row r="10" spans="1:5" ht="13.5" customHeight="1" x14ac:dyDescent="0.25">
      <c r="A10" s="12" t="s">
        <v>68</v>
      </c>
      <c r="B10" s="13">
        <v>36</v>
      </c>
      <c r="C10" s="13">
        <v>8</v>
      </c>
      <c r="D10">
        <f t="shared" ref="D10:D13" si="0">(3/30)/12</f>
        <v>8.3333333333333297E-3</v>
      </c>
    </row>
    <row r="11" spans="1:5" ht="13.5" customHeight="1" x14ac:dyDescent="0.25">
      <c r="A11" s="12" t="s">
        <v>69</v>
      </c>
      <c r="B11" s="13">
        <v>39</v>
      </c>
      <c r="C11" s="13">
        <v>9</v>
      </c>
      <c r="D11">
        <f t="shared" si="0"/>
        <v>8.3333333333333297E-3</v>
      </c>
    </row>
    <row r="12" spans="1:5" ht="13.5" customHeight="1" x14ac:dyDescent="0.25">
      <c r="A12" s="14" t="s">
        <v>70</v>
      </c>
      <c r="B12" s="15">
        <v>42</v>
      </c>
      <c r="C12" s="15">
        <v>10</v>
      </c>
      <c r="D12">
        <f t="shared" si="0"/>
        <v>8.3333333333333297E-3</v>
      </c>
    </row>
    <row r="13" spans="1:5" ht="13.5" customHeight="1" x14ac:dyDescent="0.25">
      <c r="A13" s="12" t="s">
        <v>71</v>
      </c>
      <c r="B13" s="13">
        <v>45</v>
      </c>
      <c r="C13" s="13">
        <v>11</v>
      </c>
      <c r="D13">
        <f t="shared" si="0"/>
        <v>8.3333333333333297E-3</v>
      </c>
      <c r="E13" t="s">
        <v>93</v>
      </c>
    </row>
    <row r="14" spans="1:5" x14ac:dyDescent="0.25">
      <c r="A14" s="12" t="s">
        <v>72</v>
      </c>
      <c r="B14" s="13">
        <v>48</v>
      </c>
      <c r="C14" s="13">
        <v>11</v>
      </c>
      <c r="E14" t="s">
        <v>51</v>
      </c>
    </row>
    <row r="15" spans="1:5" x14ac:dyDescent="0.25">
      <c r="A15" s="12" t="s">
        <v>73</v>
      </c>
      <c r="B15" s="13">
        <v>51</v>
      </c>
      <c r="C15" s="13">
        <v>12</v>
      </c>
    </row>
    <row r="16" spans="1:5" x14ac:dyDescent="0.25">
      <c r="A16" s="12" t="s">
        <v>74</v>
      </c>
      <c r="B16" s="13">
        <v>54</v>
      </c>
      <c r="C16" s="13">
        <v>13</v>
      </c>
    </row>
    <row r="17" spans="1:5" x14ac:dyDescent="0.25">
      <c r="A17" s="12" t="s">
        <v>75</v>
      </c>
      <c r="B17" s="13">
        <v>57</v>
      </c>
      <c r="C17" s="13">
        <v>13</v>
      </c>
    </row>
    <row r="18" spans="1:5" x14ac:dyDescent="0.25">
      <c r="A18" s="12" t="s">
        <v>76</v>
      </c>
      <c r="B18" s="13">
        <v>60</v>
      </c>
      <c r="C18" s="13">
        <v>14</v>
      </c>
    </row>
    <row r="19" spans="1:5" x14ac:dyDescent="0.25">
      <c r="A19" s="12" t="s">
        <v>77</v>
      </c>
      <c r="B19" s="13">
        <v>63</v>
      </c>
      <c r="C19" s="13">
        <v>15</v>
      </c>
    </row>
    <row r="20" spans="1:5" x14ac:dyDescent="0.25">
      <c r="A20" s="12" t="s">
        <v>78</v>
      </c>
      <c r="B20" s="13">
        <v>66</v>
      </c>
      <c r="C20" s="13">
        <v>15</v>
      </c>
    </row>
    <row r="21" spans="1:5" x14ac:dyDescent="0.25">
      <c r="A21" s="12" t="s">
        <v>79</v>
      </c>
      <c r="B21" s="13">
        <v>69</v>
      </c>
      <c r="C21" s="13">
        <v>16</v>
      </c>
    </row>
    <row r="22" spans="1:5" x14ac:dyDescent="0.25">
      <c r="A22" s="12" t="s">
        <v>80</v>
      </c>
      <c r="B22" s="13">
        <v>72</v>
      </c>
      <c r="C22" s="13">
        <v>17</v>
      </c>
    </row>
    <row r="23" spans="1:5" x14ac:dyDescent="0.25">
      <c r="A23" s="12" t="s">
        <v>81</v>
      </c>
      <c r="B23" s="13">
        <v>75</v>
      </c>
      <c r="C23" s="13">
        <v>18</v>
      </c>
    </row>
    <row r="24" spans="1:5" x14ac:dyDescent="0.25">
      <c r="A24" s="12" t="s">
        <v>82</v>
      </c>
      <c r="B24" s="13">
        <v>78</v>
      </c>
      <c r="C24" s="13">
        <v>18</v>
      </c>
    </row>
    <row r="25" spans="1:5" x14ac:dyDescent="0.25">
      <c r="A25" s="12" t="s">
        <v>83</v>
      </c>
      <c r="B25" s="13">
        <v>81</v>
      </c>
      <c r="C25" s="13">
        <v>19</v>
      </c>
    </row>
    <row r="26" spans="1:5" x14ac:dyDescent="0.25">
      <c r="A26" s="12" t="s">
        <v>84</v>
      </c>
      <c r="B26" s="13">
        <v>84</v>
      </c>
      <c r="C26" s="13">
        <v>20</v>
      </c>
    </row>
    <row r="27" spans="1:5" x14ac:dyDescent="0.25">
      <c r="A27" s="12" t="s">
        <v>85</v>
      </c>
      <c r="B27" s="13">
        <v>87</v>
      </c>
      <c r="C27" s="13">
        <v>20</v>
      </c>
    </row>
    <row r="28" spans="1:5" ht="15.75" thickBot="1" x14ac:dyDescent="0.3">
      <c r="A28" s="16" t="s">
        <v>86</v>
      </c>
      <c r="B28" s="9">
        <v>90</v>
      </c>
      <c r="C28" s="9">
        <v>21</v>
      </c>
      <c r="E28" s="17" t="s">
        <v>87</v>
      </c>
    </row>
    <row r="29" spans="1:5" ht="18.75" x14ac:dyDescent="0.3">
      <c r="A29" s="5"/>
    </row>
    <row r="30" spans="1:5" ht="145.5" customHeight="1" x14ac:dyDescent="0.3">
      <c r="A30" s="235" t="s">
        <v>88</v>
      </c>
      <c r="B30" s="235"/>
      <c r="C30" s="235"/>
    </row>
    <row r="31" spans="1:5" ht="18.75" x14ac:dyDescent="0.3">
      <c r="A31" s="5"/>
    </row>
    <row r="32" spans="1:5" ht="18.75" x14ac:dyDescent="0.3">
      <c r="A32" s="18" t="s">
        <v>89</v>
      </c>
    </row>
    <row r="33" spans="1:3" ht="18.75" x14ac:dyDescent="0.3">
      <c r="A33" s="5"/>
    </row>
    <row r="34" spans="1:3" x14ac:dyDescent="0.25">
      <c r="A34" s="228" t="s">
        <v>90</v>
      </c>
      <c r="B34" s="228"/>
      <c r="C34" s="228"/>
    </row>
    <row r="35" spans="1:3" x14ac:dyDescent="0.25">
      <c r="A35" s="228"/>
      <c r="B35" s="228"/>
      <c r="C35" s="228"/>
    </row>
    <row r="36" spans="1:3" x14ac:dyDescent="0.25">
      <c r="A36" s="228" t="s">
        <v>91</v>
      </c>
      <c r="B36" s="228"/>
      <c r="C36" s="228"/>
    </row>
    <row r="37" spans="1:3" x14ac:dyDescent="0.25">
      <c r="A37" s="228"/>
      <c r="B37" s="228"/>
      <c r="C37" s="228"/>
    </row>
    <row r="40" spans="1:3" x14ac:dyDescent="0.25">
      <c r="A40" s="19" t="s">
        <v>92</v>
      </c>
    </row>
  </sheetData>
  <mergeCells count="8">
    <mergeCell ref="A34:C35"/>
    <mergeCell ref="A36:C37"/>
    <mergeCell ref="A2:C2"/>
    <mergeCell ref="A3:C3"/>
    <mergeCell ref="A5:C5"/>
    <mergeCell ref="A6:A7"/>
    <mergeCell ref="B6:B7"/>
    <mergeCell ref="A30:C30"/>
  </mergeCells>
  <hyperlinks>
    <hyperlink ref="E28" location="'ADAPTAÇÃO A IN 06_13'!B77" display="VOLTAR PLANILHA PRINCIPAL"/>
  </hyperlinks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2"/>
  <sheetViews>
    <sheetView topLeftCell="A7" workbookViewId="0">
      <selection activeCell="E8" sqref="E8"/>
    </sheetView>
  </sheetViews>
  <sheetFormatPr defaultColWidth="42.85546875" defaultRowHeight="18.75" x14ac:dyDescent="0.3"/>
  <cols>
    <col min="1" max="1" width="42.85546875" style="3"/>
    <col min="2" max="2" width="72.5703125" style="3" customWidth="1"/>
    <col min="3" max="16384" width="42.85546875" style="20"/>
  </cols>
  <sheetData>
    <row r="1" spans="1:2" ht="19.5" thickBot="1" x14ac:dyDescent="0.35">
      <c r="A1" s="236" t="s">
        <v>94</v>
      </c>
      <c r="B1" s="236"/>
    </row>
    <row r="2" spans="1:2" ht="19.5" thickBot="1" x14ac:dyDescent="0.35">
      <c r="A2" s="21" t="s">
        <v>95</v>
      </c>
      <c r="B2" s="21" t="s">
        <v>96</v>
      </c>
    </row>
    <row r="3" spans="1:2" ht="19.5" thickBot="1" x14ac:dyDescent="0.35">
      <c r="A3" s="22" t="s">
        <v>97</v>
      </c>
      <c r="B3" s="23" t="s">
        <v>98</v>
      </c>
    </row>
    <row r="4" spans="1:2" ht="57" thickBot="1" x14ac:dyDescent="0.35">
      <c r="A4" s="24" t="s">
        <v>99</v>
      </c>
      <c r="B4" s="25" t="s">
        <v>100</v>
      </c>
    </row>
    <row r="5" spans="1:2" ht="19.5" thickBot="1" x14ac:dyDescent="0.35">
      <c r="A5" s="24" t="s">
        <v>101</v>
      </c>
      <c r="B5" s="25" t="s">
        <v>102</v>
      </c>
    </row>
    <row r="6" spans="1:2" ht="94.5" thickBot="1" x14ac:dyDescent="0.35">
      <c r="A6" s="24" t="s">
        <v>103</v>
      </c>
      <c r="B6" s="25" t="s">
        <v>104</v>
      </c>
    </row>
    <row r="7" spans="1:2" ht="38.25" thickBot="1" x14ac:dyDescent="0.35">
      <c r="A7" s="24" t="s">
        <v>105</v>
      </c>
      <c r="B7" s="25" t="s">
        <v>106</v>
      </c>
    </row>
    <row r="8" spans="1:2" ht="19.5" thickBot="1" x14ac:dyDescent="0.35">
      <c r="A8" s="24" t="s">
        <v>107</v>
      </c>
      <c r="B8" s="25" t="s">
        <v>108</v>
      </c>
    </row>
    <row r="9" spans="1:2" ht="38.25" thickBot="1" x14ac:dyDescent="0.35">
      <c r="A9" s="24" t="s">
        <v>109</v>
      </c>
      <c r="B9" s="25" t="s">
        <v>110</v>
      </c>
    </row>
    <row r="10" spans="1:2" ht="57" thickBot="1" x14ac:dyDescent="0.35">
      <c r="A10" s="24" t="s">
        <v>111</v>
      </c>
      <c r="B10" s="25" t="s">
        <v>112</v>
      </c>
    </row>
    <row r="11" spans="1:2" ht="75.75" thickBot="1" x14ac:dyDescent="0.35">
      <c r="A11" s="24" t="s">
        <v>113</v>
      </c>
      <c r="B11" s="25" t="s">
        <v>114</v>
      </c>
    </row>
    <row r="12" spans="1:2" ht="57" thickBot="1" x14ac:dyDescent="0.35">
      <c r="A12" s="24" t="s">
        <v>111</v>
      </c>
      <c r="B12" s="25" t="s">
        <v>115</v>
      </c>
    </row>
    <row r="13" spans="1:2" ht="38.25" thickBot="1" x14ac:dyDescent="0.35">
      <c r="A13" s="24" t="s">
        <v>111</v>
      </c>
      <c r="B13" s="25" t="s">
        <v>116</v>
      </c>
    </row>
    <row r="14" spans="1:2" ht="57" thickBot="1" x14ac:dyDescent="0.35">
      <c r="A14" s="24" t="s">
        <v>111</v>
      </c>
      <c r="B14" s="25" t="s">
        <v>117</v>
      </c>
    </row>
    <row r="15" spans="1:2" ht="19.5" thickBot="1" x14ac:dyDescent="0.35">
      <c r="A15" s="24" t="s">
        <v>111</v>
      </c>
      <c r="B15" s="25" t="s">
        <v>118</v>
      </c>
    </row>
    <row r="16" spans="1:2" ht="38.25" thickBot="1" x14ac:dyDescent="0.35">
      <c r="A16" s="24" t="s">
        <v>119</v>
      </c>
      <c r="B16" s="25" t="s">
        <v>120</v>
      </c>
    </row>
    <row r="17" spans="1:2" ht="38.25" thickBot="1" x14ac:dyDescent="0.35">
      <c r="A17" s="24" t="s">
        <v>121</v>
      </c>
      <c r="B17" s="25" t="s">
        <v>122</v>
      </c>
    </row>
    <row r="18" spans="1:2" ht="38.25" thickBot="1" x14ac:dyDescent="0.35">
      <c r="A18" s="24" t="s">
        <v>111</v>
      </c>
      <c r="B18" s="25" t="s">
        <v>123</v>
      </c>
    </row>
    <row r="19" spans="1:2" ht="57" thickBot="1" x14ac:dyDescent="0.35">
      <c r="A19" s="24" t="s">
        <v>111</v>
      </c>
      <c r="B19" s="25" t="s">
        <v>124</v>
      </c>
    </row>
    <row r="20" spans="1:2" ht="38.25" thickBot="1" x14ac:dyDescent="0.35">
      <c r="A20" s="24" t="s">
        <v>111</v>
      </c>
      <c r="B20" s="25" t="s">
        <v>125</v>
      </c>
    </row>
    <row r="21" spans="1:2" ht="57" thickBot="1" x14ac:dyDescent="0.35">
      <c r="A21" s="24" t="s">
        <v>111</v>
      </c>
      <c r="B21" s="25" t="s">
        <v>126</v>
      </c>
    </row>
    <row r="22" spans="1:2" x14ac:dyDescent="0.3">
      <c r="A22" s="26" t="s">
        <v>111</v>
      </c>
      <c r="B22" s="27" t="s">
        <v>127</v>
      </c>
    </row>
  </sheetData>
  <mergeCells count="1">
    <mergeCell ref="A1:B1"/>
  </mergeCell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2"/>
  <sheetViews>
    <sheetView tabSelected="1" view="pageBreakPreview" zoomScaleSheetLayoutView="100" workbookViewId="0">
      <selection activeCell="Q17" sqref="Q17"/>
    </sheetView>
  </sheetViews>
  <sheetFormatPr defaultRowHeight="12.75" x14ac:dyDescent="0.25"/>
  <cols>
    <col min="1" max="1" width="10.7109375" style="29" customWidth="1"/>
    <col min="2" max="2" width="30.7109375" style="30" customWidth="1"/>
    <col min="3" max="3" width="15.7109375" style="30" customWidth="1"/>
    <col min="4" max="5" width="15.7109375" style="29" customWidth="1"/>
    <col min="6" max="8" width="15.7109375" style="31" customWidth="1"/>
    <col min="9" max="9" width="0" style="44" hidden="1" customWidth="1"/>
    <col min="10" max="10" width="9.85546875" style="28" hidden="1" customWidth="1"/>
    <col min="11" max="11" width="9.85546875" style="29" hidden="1" customWidth="1"/>
    <col min="12" max="16384" width="9.140625" style="29"/>
  </cols>
  <sheetData>
    <row r="1" spans="1:10" ht="15" customHeight="1" thickBot="1" x14ac:dyDescent="0.3">
      <c r="A1" s="237" t="s">
        <v>339</v>
      </c>
      <c r="B1" s="238"/>
      <c r="C1" s="238"/>
      <c r="D1" s="238"/>
      <c r="E1" s="238"/>
      <c r="F1" s="238"/>
      <c r="G1" s="238"/>
      <c r="H1" s="239"/>
      <c r="I1" s="45"/>
    </row>
    <row r="2" spans="1:10" ht="15" customHeight="1" thickBot="1" x14ac:dyDescent="0.3">
      <c r="A2" s="240" t="s">
        <v>350</v>
      </c>
      <c r="B2" s="241"/>
      <c r="C2" s="241"/>
      <c r="D2" s="241"/>
      <c r="E2" s="241"/>
      <c r="F2" s="241"/>
      <c r="G2" s="241"/>
      <c r="H2" s="242"/>
    </row>
    <row r="3" spans="1:10" ht="30" customHeight="1" thickBot="1" x14ac:dyDescent="0.3">
      <c r="A3" s="174" t="s">
        <v>137</v>
      </c>
      <c r="B3" s="174" t="s">
        <v>136</v>
      </c>
      <c r="C3" s="174" t="s">
        <v>190</v>
      </c>
      <c r="D3" s="174" t="s">
        <v>138</v>
      </c>
      <c r="E3" s="174" t="s">
        <v>191</v>
      </c>
      <c r="F3" s="175" t="s">
        <v>212</v>
      </c>
      <c r="G3" s="175" t="s">
        <v>139</v>
      </c>
      <c r="H3" s="175" t="s">
        <v>174</v>
      </c>
    </row>
    <row r="4" spans="1:10" ht="15" customHeight="1" x14ac:dyDescent="0.25">
      <c r="A4" s="51" t="s">
        <v>143</v>
      </c>
      <c r="B4" s="212" t="s">
        <v>314</v>
      </c>
      <c r="C4" s="188">
        <v>550</v>
      </c>
      <c r="D4" s="51" t="s">
        <v>140</v>
      </c>
      <c r="E4" s="192">
        <v>353.43</v>
      </c>
      <c r="F4" s="189">
        <f>'M2'!E6</f>
        <v>17.98</v>
      </c>
      <c r="G4" s="189">
        <f>F4*E4</f>
        <v>6354.67</v>
      </c>
      <c r="H4" s="189">
        <f>G4*12</f>
        <v>76256.039999999994</v>
      </c>
      <c r="I4" s="44">
        <v>11.52</v>
      </c>
    </row>
    <row r="5" spans="1:10" ht="15" customHeight="1" x14ac:dyDescent="0.25">
      <c r="A5" s="51" t="s">
        <v>144</v>
      </c>
      <c r="B5" s="212" t="s">
        <v>315</v>
      </c>
      <c r="C5" s="51">
        <v>350</v>
      </c>
      <c r="D5" s="51" t="s">
        <v>140</v>
      </c>
      <c r="E5" s="192">
        <v>518.4</v>
      </c>
      <c r="F5" s="189">
        <f>'M2'!E11</f>
        <v>28.26</v>
      </c>
      <c r="G5" s="189">
        <f>F5*E5</f>
        <v>14649.98</v>
      </c>
      <c r="H5" s="189">
        <f>G5*12</f>
        <v>175799.76</v>
      </c>
      <c r="I5" s="44">
        <v>6.38</v>
      </c>
    </row>
    <row r="6" spans="1:10" ht="15" customHeight="1" thickBot="1" x14ac:dyDescent="0.3">
      <c r="A6" s="51" t="s">
        <v>145</v>
      </c>
      <c r="B6" s="120" t="s">
        <v>316</v>
      </c>
      <c r="C6" s="178">
        <v>450</v>
      </c>
      <c r="D6" s="51" t="s">
        <v>140</v>
      </c>
      <c r="E6" s="192">
        <v>242.83</v>
      </c>
      <c r="F6" s="189">
        <f>'M2'!K6</f>
        <v>21.98</v>
      </c>
      <c r="G6" s="189">
        <f>F6*E6</f>
        <v>5337.4</v>
      </c>
      <c r="H6" s="189">
        <f>G6*12</f>
        <v>64048.800000000003</v>
      </c>
    </row>
    <row r="7" spans="1:10" ht="15" customHeight="1" thickBot="1" x14ac:dyDescent="0.3">
      <c r="A7" s="190"/>
      <c r="B7" s="191"/>
      <c r="C7" s="191"/>
      <c r="D7" s="191"/>
      <c r="E7" s="191"/>
      <c r="F7" s="216" t="s">
        <v>323</v>
      </c>
      <c r="G7" s="217">
        <f>SUM(G4:G6)</f>
        <v>26342.05</v>
      </c>
      <c r="H7" s="217">
        <f>SUM(H4:H6)</f>
        <v>316104.59999999998</v>
      </c>
      <c r="I7" s="29"/>
      <c r="J7" s="43">
        <v>470890</v>
      </c>
    </row>
    <row r="8" spans="1:10" ht="13.5" x14ac:dyDescent="0.25">
      <c r="B8" s="32"/>
      <c r="C8" s="32"/>
      <c r="D8" s="32"/>
      <c r="E8" s="32"/>
    </row>
    <row r="11" spans="1:10" x14ac:dyDescent="0.25">
      <c r="B11" s="29"/>
      <c r="C11" s="29"/>
      <c r="F11" s="29"/>
      <c r="G11" s="29"/>
      <c r="H11" s="29"/>
    </row>
    <row r="12" spans="1:10" x14ac:dyDescent="0.25">
      <c r="B12" s="29"/>
      <c r="C12" s="29"/>
      <c r="F12" s="29"/>
      <c r="G12" s="29"/>
      <c r="H12" s="29"/>
    </row>
  </sheetData>
  <mergeCells count="2">
    <mergeCell ref="A1:H1"/>
    <mergeCell ref="A2:H2"/>
  </mergeCells>
  <phoneticPr fontId="24" type="noConversion"/>
  <printOptions horizontalCentered="1"/>
  <pageMargins left="0.31496062992125984" right="0.31496062992125984" top="0.35433070866141736" bottom="1.1811023622047245" header="3.937007874015748E-2" footer="0.31496062992125984"/>
  <pageSetup paperSize="9" scale="72" orientation="portrait" r:id="rId1"/>
  <headerFooter differentFirst="1">
    <firstFooter>&amp;R&amp;G</first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2"/>
  <sheetViews>
    <sheetView view="pageBreakPreview" zoomScaleNormal="100" zoomScaleSheetLayoutView="100" workbookViewId="0">
      <selection activeCell="N30" sqref="N30"/>
    </sheetView>
  </sheetViews>
  <sheetFormatPr defaultRowHeight="15" x14ac:dyDescent="0.25"/>
  <cols>
    <col min="1" max="11" width="15.7109375" customWidth="1"/>
  </cols>
  <sheetData>
    <row r="1" spans="1:11" ht="15" customHeight="1" thickBot="1" x14ac:dyDescent="0.3">
      <c r="A1" s="243" t="s">
        <v>166</v>
      </c>
      <c r="B1" s="244"/>
      <c r="C1" s="244"/>
      <c r="D1" s="244"/>
      <c r="E1" s="244"/>
      <c r="F1" s="244"/>
      <c r="G1" s="244"/>
      <c r="H1" s="244"/>
      <c r="I1" s="244"/>
      <c r="J1" s="244"/>
      <c r="K1" s="245"/>
    </row>
    <row r="2" spans="1:11" ht="15" customHeight="1" thickBot="1" x14ac:dyDescent="0.3">
      <c r="A2" s="119"/>
      <c r="B2" s="186"/>
      <c r="C2" s="186"/>
      <c r="D2" s="186"/>
      <c r="E2" s="186"/>
      <c r="F2" s="204"/>
      <c r="G2" s="205"/>
      <c r="H2" s="205"/>
      <c r="I2" s="205"/>
      <c r="J2" s="205"/>
      <c r="K2" s="209"/>
    </row>
    <row r="3" spans="1:11" ht="15" customHeight="1" x14ac:dyDescent="0.25">
      <c r="A3" s="246" t="s">
        <v>314</v>
      </c>
      <c r="B3" s="247"/>
      <c r="C3" s="247"/>
      <c r="D3" s="247"/>
      <c r="E3" s="248"/>
      <c r="F3" s="205"/>
      <c r="G3" s="246" t="s">
        <v>316</v>
      </c>
      <c r="H3" s="247"/>
      <c r="I3" s="247"/>
      <c r="J3" s="247"/>
      <c r="K3" s="248"/>
    </row>
    <row r="4" spans="1:11" ht="45" customHeight="1" x14ac:dyDescent="0.25">
      <c r="A4" s="111" t="s">
        <v>167</v>
      </c>
      <c r="B4" s="249" t="s">
        <v>296</v>
      </c>
      <c r="C4" s="250"/>
      <c r="D4" s="210" t="s">
        <v>168</v>
      </c>
      <c r="E4" s="112" t="s">
        <v>297</v>
      </c>
      <c r="F4" s="206"/>
      <c r="G4" s="111" t="s">
        <v>167</v>
      </c>
      <c r="H4" s="249" t="s">
        <v>296</v>
      </c>
      <c r="I4" s="250"/>
      <c r="J4" s="210" t="s">
        <v>168</v>
      </c>
      <c r="K4" s="112" t="s">
        <v>297</v>
      </c>
    </row>
    <row r="5" spans="1:11" ht="15" customHeight="1" x14ac:dyDescent="0.25">
      <c r="A5" s="201" t="s">
        <v>169</v>
      </c>
      <c r="B5" s="72" t="s">
        <v>172</v>
      </c>
      <c r="C5" s="73">
        <f>1/550</f>
        <v>1.81818E-3</v>
      </c>
      <c r="D5" s="74">
        <f>'Auxiliar de Limpeza'!E112</f>
        <v>9890.4</v>
      </c>
      <c r="E5" s="113">
        <f>ROUND(C5*D5,2)</f>
        <v>17.98</v>
      </c>
      <c r="F5" s="206"/>
      <c r="G5" s="201" t="s">
        <v>169</v>
      </c>
      <c r="H5" s="72" t="s">
        <v>173</v>
      </c>
      <c r="I5" s="73">
        <f>1/450</f>
        <v>2.22222E-3</v>
      </c>
      <c r="J5" s="74">
        <f>'Auxiliar de Limpeza'!E112</f>
        <v>9890.4</v>
      </c>
      <c r="K5" s="113">
        <f>ROUND(I5*J5,2)</f>
        <v>21.98</v>
      </c>
    </row>
    <row r="6" spans="1:11" ht="15" customHeight="1" thickBot="1" x14ac:dyDescent="0.3">
      <c r="A6" s="253" t="s">
        <v>171</v>
      </c>
      <c r="B6" s="254"/>
      <c r="C6" s="254"/>
      <c r="D6" s="255"/>
      <c r="E6" s="114">
        <f>SUM(E5:E5)</f>
        <v>17.98</v>
      </c>
      <c r="F6" s="206"/>
      <c r="G6" s="253" t="s">
        <v>171</v>
      </c>
      <c r="H6" s="254"/>
      <c r="I6" s="254"/>
      <c r="J6" s="255"/>
      <c r="K6" s="114">
        <f>SUM(K5:K5)</f>
        <v>21.98</v>
      </c>
    </row>
    <row r="7" spans="1:11" ht="15" customHeight="1" thickBot="1" x14ac:dyDescent="0.3">
      <c r="A7" s="120"/>
      <c r="B7" s="187"/>
      <c r="C7" s="212"/>
      <c r="D7" s="207"/>
      <c r="E7" s="208"/>
      <c r="F7" s="251"/>
      <c r="G7" s="251"/>
      <c r="H7" s="251"/>
      <c r="I7" s="251"/>
      <c r="J7" s="251"/>
      <c r="K7" s="252"/>
    </row>
    <row r="8" spans="1:11" ht="15" customHeight="1" x14ac:dyDescent="0.25">
      <c r="A8" s="246" t="s">
        <v>315</v>
      </c>
      <c r="B8" s="247"/>
      <c r="C8" s="247"/>
      <c r="D8" s="247"/>
      <c r="E8" s="248"/>
      <c r="F8" s="251"/>
      <c r="G8" s="251"/>
      <c r="H8" s="251"/>
      <c r="I8" s="251"/>
      <c r="J8" s="251"/>
      <c r="K8" s="252"/>
    </row>
    <row r="9" spans="1:11" ht="45" customHeight="1" x14ac:dyDescent="0.25">
      <c r="A9" s="111" t="s">
        <v>167</v>
      </c>
      <c r="B9" s="249" t="s">
        <v>296</v>
      </c>
      <c r="C9" s="250"/>
      <c r="D9" s="210" t="s">
        <v>168</v>
      </c>
      <c r="E9" s="112" t="s">
        <v>297</v>
      </c>
      <c r="F9" s="251"/>
      <c r="G9" s="251"/>
      <c r="H9" s="251"/>
      <c r="I9" s="251"/>
      <c r="J9" s="251"/>
      <c r="K9" s="252"/>
    </row>
    <row r="10" spans="1:11" ht="15" customHeight="1" x14ac:dyDescent="0.25">
      <c r="A10" s="201" t="s">
        <v>169</v>
      </c>
      <c r="B10" s="72" t="s">
        <v>170</v>
      </c>
      <c r="C10" s="73">
        <f>1/350</f>
        <v>2.8571400000000002E-3</v>
      </c>
      <c r="D10" s="74">
        <f>'Auxiliar de Limpeza'!E112</f>
        <v>9890.4</v>
      </c>
      <c r="E10" s="113">
        <f>ROUND(C10*D10,2)</f>
        <v>28.26</v>
      </c>
      <c r="F10" s="251"/>
      <c r="G10" s="251"/>
      <c r="H10" s="251"/>
      <c r="I10" s="251"/>
      <c r="J10" s="251"/>
      <c r="K10" s="252"/>
    </row>
    <row r="11" spans="1:11" ht="15" customHeight="1" thickBot="1" x14ac:dyDescent="0.3">
      <c r="A11" s="253" t="s">
        <v>171</v>
      </c>
      <c r="B11" s="254"/>
      <c r="C11" s="254"/>
      <c r="D11" s="255"/>
      <c r="E11" s="114">
        <f>SUM(E10:E10)</f>
        <v>28.26</v>
      </c>
      <c r="F11" s="251"/>
      <c r="G11" s="251"/>
      <c r="H11" s="251"/>
      <c r="I11" s="251"/>
      <c r="J11" s="251"/>
      <c r="K11" s="252"/>
    </row>
    <row r="12" spans="1:11" ht="15" customHeight="1" thickBot="1" x14ac:dyDescent="0.3">
      <c r="A12" s="240"/>
      <c r="B12" s="241"/>
      <c r="C12" s="241"/>
      <c r="D12" s="241"/>
      <c r="E12" s="241"/>
      <c r="F12" s="241"/>
      <c r="G12" s="241"/>
      <c r="H12" s="241"/>
      <c r="I12" s="241"/>
      <c r="J12" s="241"/>
      <c r="K12" s="242"/>
    </row>
  </sheetData>
  <mergeCells count="12">
    <mergeCell ref="A1:K1"/>
    <mergeCell ref="A8:E8"/>
    <mergeCell ref="B9:C9"/>
    <mergeCell ref="F7:K11"/>
    <mergeCell ref="A12:K12"/>
    <mergeCell ref="A3:E3"/>
    <mergeCell ref="B4:C4"/>
    <mergeCell ref="G3:K3"/>
    <mergeCell ref="H4:I4"/>
    <mergeCell ref="A6:D6"/>
    <mergeCell ref="A11:D11"/>
    <mergeCell ref="G6:J6"/>
  </mergeCells>
  <printOptions horizontalCentered="1"/>
  <pageMargins left="0.31496062992125984" right="0.31496062992125984" top="0.35433070866141736" bottom="1.1811023622047245" header="3.937007874015748E-2" footer="0.31496062992125984"/>
  <pageSetup paperSize="9" scale="56" orientation="portrait" r:id="rId1"/>
  <headerFooter differentFirst="1">
    <firstFooter>&amp;R&amp;G</first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24"/>
  <sheetViews>
    <sheetView view="pageBreakPreview" topLeftCell="A95" zoomScaleNormal="115" zoomScaleSheetLayoutView="100" workbookViewId="0">
      <selection activeCell="N30" sqref="N30"/>
    </sheetView>
  </sheetViews>
  <sheetFormatPr defaultColWidth="9.140625" defaultRowHeight="15.75" x14ac:dyDescent="0.25"/>
  <cols>
    <col min="1" max="1" width="4.42578125" style="34" bestFit="1" customWidth="1"/>
    <col min="2" max="2" width="72.7109375" style="36" customWidth="1"/>
    <col min="3" max="3" width="20.7109375" style="36" customWidth="1"/>
    <col min="4" max="4" width="8.7109375" style="37" customWidth="1"/>
    <col min="5" max="5" width="15.7109375" style="42" customWidth="1"/>
    <col min="6" max="16384" width="9.140625" style="33"/>
  </cols>
  <sheetData>
    <row r="1" spans="1:8" x14ac:dyDescent="0.25">
      <c r="A1" s="278"/>
      <c r="B1" s="279"/>
      <c r="C1" s="279"/>
      <c r="D1" s="279"/>
      <c r="E1" s="280"/>
      <c r="F1" s="195"/>
      <c r="G1" s="195"/>
      <c r="H1" s="195"/>
    </row>
    <row r="2" spans="1:8" s="46" customFormat="1" ht="16.5" customHeight="1" thickBot="1" x14ac:dyDescent="0.3">
      <c r="A2" s="308"/>
      <c r="B2" s="309"/>
      <c r="C2" s="309"/>
      <c r="D2" s="309"/>
      <c r="E2" s="310"/>
      <c r="F2" s="196"/>
      <c r="G2" s="196"/>
      <c r="H2" s="196"/>
    </row>
    <row r="3" spans="1:8" s="46" customFormat="1" x14ac:dyDescent="0.25">
      <c r="A3" s="314" t="s">
        <v>128</v>
      </c>
      <c r="B3" s="315"/>
      <c r="C3" s="315"/>
      <c r="D3" s="315"/>
      <c r="E3" s="316"/>
      <c r="F3" s="196"/>
      <c r="G3" s="196"/>
      <c r="H3" s="196"/>
    </row>
    <row r="4" spans="1:8" s="46" customFormat="1" ht="15" customHeight="1" x14ac:dyDescent="0.25">
      <c r="A4" s="52" t="s">
        <v>0</v>
      </c>
      <c r="B4" s="53" t="s">
        <v>1</v>
      </c>
      <c r="C4" s="311">
        <v>2024</v>
      </c>
      <c r="D4" s="312"/>
      <c r="E4" s="313"/>
      <c r="F4" s="196"/>
      <c r="G4" s="196"/>
      <c r="H4" s="196"/>
    </row>
    <row r="5" spans="1:8" s="46" customFormat="1" ht="45" customHeight="1" x14ac:dyDescent="0.25">
      <c r="A5" s="52" t="s">
        <v>2</v>
      </c>
      <c r="B5" s="53" t="s">
        <v>136</v>
      </c>
      <c r="C5" s="281" t="s">
        <v>327</v>
      </c>
      <c r="D5" s="282"/>
      <c r="E5" s="283"/>
      <c r="F5" s="196"/>
      <c r="G5" s="196"/>
      <c r="H5" s="196"/>
    </row>
    <row r="6" spans="1:8" s="46" customFormat="1" ht="15.75" customHeight="1" x14ac:dyDescent="0.25">
      <c r="A6" s="52" t="s">
        <v>3</v>
      </c>
      <c r="B6" s="53" t="s">
        <v>4</v>
      </c>
      <c r="C6" s="281" t="s">
        <v>340</v>
      </c>
      <c r="D6" s="282"/>
      <c r="E6" s="283"/>
      <c r="F6" s="196"/>
      <c r="G6" s="196"/>
      <c r="H6" s="196"/>
    </row>
    <row r="7" spans="1:8" s="46" customFormat="1" x14ac:dyDescent="0.25">
      <c r="A7" s="52"/>
      <c r="B7" s="53" t="s">
        <v>295</v>
      </c>
      <c r="C7" s="281">
        <v>12</v>
      </c>
      <c r="D7" s="282"/>
      <c r="E7" s="283"/>
      <c r="F7" s="196"/>
      <c r="G7" s="196"/>
      <c r="H7" s="196"/>
    </row>
    <row r="8" spans="1:8" s="46" customFormat="1" x14ac:dyDescent="0.25">
      <c r="A8" s="286" t="s">
        <v>6</v>
      </c>
      <c r="B8" s="287"/>
      <c r="C8" s="287"/>
      <c r="D8" s="287"/>
      <c r="E8" s="288"/>
    </row>
    <row r="9" spans="1:8" s="46" customFormat="1" x14ac:dyDescent="0.25">
      <c r="A9" s="289" t="s">
        <v>7</v>
      </c>
      <c r="B9" s="290"/>
      <c r="C9" s="290"/>
      <c r="D9" s="290"/>
      <c r="E9" s="291"/>
    </row>
    <row r="10" spans="1:8" s="46" customFormat="1" ht="15.75" customHeight="1" x14ac:dyDescent="0.25">
      <c r="A10" s="275" t="s">
        <v>8</v>
      </c>
      <c r="B10" s="276"/>
      <c r="C10" s="276"/>
      <c r="D10" s="276"/>
      <c r="E10" s="277"/>
    </row>
    <row r="11" spans="1:8" s="46" customFormat="1" ht="30" customHeight="1" x14ac:dyDescent="0.25">
      <c r="A11" s="299" t="s">
        <v>9</v>
      </c>
      <c r="B11" s="300"/>
      <c r="C11" s="300"/>
      <c r="D11" s="301"/>
      <c r="E11" s="122" t="s">
        <v>10</v>
      </c>
    </row>
    <row r="12" spans="1:8" s="46" customFormat="1" ht="30" customHeight="1" x14ac:dyDescent="0.25">
      <c r="A12" s="52">
        <v>1</v>
      </c>
      <c r="B12" s="54" t="s">
        <v>129</v>
      </c>
      <c r="C12" s="292" t="s">
        <v>328</v>
      </c>
      <c r="D12" s="293"/>
      <c r="E12" s="294"/>
    </row>
    <row r="13" spans="1:8" s="46" customFormat="1" ht="30" customHeight="1" x14ac:dyDescent="0.25">
      <c r="A13" s="52">
        <v>2</v>
      </c>
      <c r="B13" s="54" t="s">
        <v>11</v>
      </c>
      <c r="C13" s="340">
        <v>1618.08</v>
      </c>
      <c r="D13" s="341"/>
      <c r="E13" s="342"/>
    </row>
    <row r="14" spans="1:8" s="46" customFormat="1" ht="15.75" customHeight="1" x14ac:dyDescent="0.25">
      <c r="A14" s="52">
        <v>3</v>
      </c>
      <c r="B14" s="54" t="s">
        <v>12</v>
      </c>
      <c r="C14" s="292" t="s">
        <v>326</v>
      </c>
      <c r="D14" s="293"/>
      <c r="E14" s="294"/>
    </row>
    <row r="15" spans="1:8" s="46" customFormat="1" x14ac:dyDescent="0.25">
      <c r="A15" s="52">
        <v>4</v>
      </c>
      <c r="B15" s="55" t="s">
        <v>13</v>
      </c>
      <c r="C15" s="302">
        <v>2024</v>
      </c>
      <c r="D15" s="303"/>
      <c r="E15" s="304"/>
    </row>
    <row r="16" spans="1:8" s="47" customFormat="1" x14ac:dyDescent="0.25">
      <c r="A16" s="256" t="s">
        <v>14</v>
      </c>
      <c r="B16" s="257"/>
      <c r="C16" s="257"/>
      <c r="D16" s="257"/>
      <c r="E16" s="258"/>
    </row>
    <row r="17" spans="1:5" s="47" customFormat="1" x14ac:dyDescent="0.25">
      <c r="A17" s="56">
        <v>1</v>
      </c>
      <c r="B17" s="347" t="s">
        <v>15</v>
      </c>
      <c r="C17" s="348"/>
      <c r="D17" s="349"/>
      <c r="E17" s="86" t="s">
        <v>10</v>
      </c>
    </row>
    <row r="18" spans="1:5" s="46" customFormat="1" ht="15.75" customHeight="1" x14ac:dyDescent="0.25">
      <c r="A18" s="57" t="s">
        <v>0</v>
      </c>
      <c r="B18" s="147" t="s">
        <v>16</v>
      </c>
      <c r="C18" s="295"/>
      <c r="D18" s="296"/>
      <c r="E18" s="87">
        <f>C13</f>
        <v>1618.08</v>
      </c>
    </row>
    <row r="19" spans="1:5" s="46" customFormat="1" ht="15.75" customHeight="1" x14ac:dyDescent="0.25">
      <c r="A19" s="57" t="s">
        <v>2</v>
      </c>
      <c r="B19" s="147" t="s">
        <v>17</v>
      </c>
      <c r="C19" s="297" t="s">
        <v>18</v>
      </c>
      <c r="D19" s="298"/>
      <c r="E19" s="88"/>
    </row>
    <row r="20" spans="1:5" s="46" customFormat="1" ht="15.75" customHeight="1" x14ac:dyDescent="0.25">
      <c r="A20" s="57" t="s">
        <v>3</v>
      </c>
      <c r="B20" s="147" t="s">
        <v>19</v>
      </c>
      <c r="C20" s="284" t="s">
        <v>331</v>
      </c>
      <c r="D20" s="285"/>
      <c r="E20" s="88">
        <f>40%*1412</f>
        <v>564.79999999999995</v>
      </c>
    </row>
    <row r="21" spans="1:5" s="46" customFormat="1" ht="15.75" customHeight="1" x14ac:dyDescent="0.25">
      <c r="A21" s="57" t="s">
        <v>5</v>
      </c>
      <c r="B21" s="147" t="s">
        <v>20</v>
      </c>
      <c r="C21" s="297" t="s">
        <v>21</v>
      </c>
      <c r="D21" s="298"/>
      <c r="E21" s="88"/>
    </row>
    <row r="22" spans="1:5" s="46" customFormat="1" ht="15.75" customHeight="1" x14ac:dyDescent="0.25">
      <c r="A22" s="57" t="s">
        <v>22</v>
      </c>
      <c r="B22" s="147" t="s">
        <v>298</v>
      </c>
      <c r="C22" s="297" t="s">
        <v>23</v>
      </c>
      <c r="D22" s="298"/>
      <c r="E22" s="88"/>
    </row>
    <row r="23" spans="1:5" s="46" customFormat="1" x14ac:dyDescent="0.25">
      <c r="A23" s="57" t="s">
        <v>24</v>
      </c>
      <c r="B23" s="147" t="s">
        <v>134</v>
      </c>
      <c r="C23" s="265"/>
      <c r="D23" s="266"/>
      <c r="E23" s="88"/>
    </row>
    <row r="24" spans="1:5" s="46" customFormat="1" ht="15.75" customHeight="1" x14ac:dyDescent="0.25">
      <c r="A24" s="57" t="s">
        <v>25</v>
      </c>
      <c r="B24" s="148" t="s">
        <v>135</v>
      </c>
      <c r="C24" s="265"/>
      <c r="D24" s="266"/>
      <c r="E24" s="88"/>
    </row>
    <row r="25" spans="1:5" s="47" customFormat="1" ht="15.75" customHeight="1" x14ac:dyDescent="0.25">
      <c r="A25" s="270" t="s">
        <v>152</v>
      </c>
      <c r="B25" s="271"/>
      <c r="C25" s="271"/>
      <c r="D25" s="346"/>
      <c r="E25" s="89">
        <f>SUM(E18:E24)</f>
        <v>2182.88</v>
      </c>
    </row>
    <row r="26" spans="1:5" s="47" customFormat="1" x14ac:dyDescent="0.25">
      <c r="A26" s="256" t="s">
        <v>50</v>
      </c>
      <c r="B26" s="257"/>
      <c r="C26" s="257"/>
      <c r="D26" s="257"/>
      <c r="E26" s="258"/>
    </row>
    <row r="27" spans="1:5" s="46" customFormat="1" ht="30" customHeight="1" x14ac:dyDescent="0.25">
      <c r="A27" s="80">
        <v>2</v>
      </c>
      <c r="B27" s="149" t="s">
        <v>299</v>
      </c>
      <c r="C27" s="81" t="s">
        <v>205</v>
      </c>
      <c r="D27" s="82"/>
      <c r="E27" s="90" t="s">
        <v>10</v>
      </c>
    </row>
    <row r="28" spans="1:5" s="46" customFormat="1" x14ac:dyDescent="0.25">
      <c r="A28" s="59" t="s">
        <v>0</v>
      </c>
      <c r="B28" s="60" t="s">
        <v>33</v>
      </c>
      <c r="C28" s="49">
        <f>E25</f>
        <v>2182.88</v>
      </c>
      <c r="D28" s="63">
        <f>1/12</f>
        <v>8.3299999999999999E-2</v>
      </c>
      <c r="E28" s="83">
        <f>(E25)*D28</f>
        <v>181.83</v>
      </c>
    </row>
    <row r="29" spans="1:5" s="46" customFormat="1" x14ac:dyDescent="0.25">
      <c r="A29" s="59" t="s">
        <v>2</v>
      </c>
      <c r="B29" s="150" t="s">
        <v>352</v>
      </c>
      <c r="C29" s="49">
        <f>E25</f>
        <v>2182.88</v>
      </c>
      <c r="D29" s="63">
        <v>0.1111</v>
      </c>
      <c r="E29" s="83">
        <f>(E25)*D29</f>
        <v>242.52</v>
      </c>
    </row>
    <row r="30" spans="1:5" x14ac:dyDescent="0.25">
      <c r="A30" s="262" t="s">
        <v>31</v>
      </c>
      <c r="B30" s="263"/>
      <c r="C30" s="264"/>
      <c r="D30" s="85">
        <f>SUM(D28:D29)</f>
        <v>0.19439999999999999</v>
      </c>
      <c r="E30" s="84">
        <f>SUM(E28:E29)</f>
        <v>424.35</v>
      </c>
    </row>
    <row r="31" spans="1:5" ht="30" customHeight="1" x14ac:dyDescent="0.25">
      <c r="A31" s="267" t="s">
        <v>302</v>
      </c>
      <c r="B31" s="268"/>
      <c r="C31" s="268"/>
      <c r="D31" s="268"/>
      <c r="E31" s="269"/>
    </row>
    <row r="32" spans="1:5" ht="30" customHeight="1" x14ac:dyDescent="0.25">
      <c r="A32" s="213" t="s">
        <v>141</v>
      </c>
      <c r="B32" s="58" t="s">
        <v>29</v>
      </c>
      <c r="C32" s="48" t="s">
        <v>205</v>
      </c>
      <c r="D32" s="61"/>
      <c r="E32" s="91" t="s">
        <v>10</v>
      </c>
    </row>
    <row r="33" spans="1:5" ht="15" customHeight="1" x14ac:dyDescent="0.25">
      <c r="A33" s="59" t="s">
        <v>0</v>
      </c>
      <c r="B33" s="151" t="s">
        <v>333</v>
      </c>
      <c r="C33" s="49">
        <f t="shared" ref="C33:C40" si="0">E$25+E$30</f>
        <v>2607.23</v>
      </c>
      <c r="D33" s="63">
        <v>0.2</v>
      </c>
      <c r="E33" s="83">
        <f>C33*D33</f>
        <v>521.45000000000005</v>
      </c>
    </row>
    <row r="34" spans="1:5" x14ac:dyDescent="0.25">
      <c r="A34" s="59" t="s">
        <v>2</v>
      </c>
      <c r="B34" s="151" t="s">
        <v>334</v>
      </c>
      <c r="C34" s="49">
        <f t="shared" si="0"/>
        <v>2607.23</v>
      </c>
      <c r="D34" s="144">
        <v>1.4999999999999999E-2</v>
      </c>
      <c r="E34" s="83">
        <f>C34*D34</f>
        <v>39.11</v>
      </c>
    </row>
    <row r="35" spans="1:5" x14ac:dyDescent="0.25">
      <c r="A35" s="59" t="s">
        <v>3</v>
      </c>
      <c r="B35" s="151" t="s">
        <v>335</v>
      </c>
      <c r="C35" s="49">
        <f t="shared" si="0"/>
        <v>2607.23</v>
      </c>
      <c r="D35" s="144">
        <v>0.01</v>
      </c>
      <c r="E35" s="83">
        <f>C35*D35</f>
        <v>26.07</v>
      </c>
    </row>
    <row r="36" spans="1:5" ht="30" x14ac:dyDescent="0.25">
      <c r="A36" s="59" t="s">
        <v>5</v>
      </c>
      <c r="B36" s="152" t="s">
        <v>336</v>
      </c>
      <c r="C36" s="49">
        <f t="shared" si="0"/>
        <v>2607.23</v>
      </c>
      <c r="D36" s="144">
        <v>2E-3</v>
      </c>
      <c r="E36" s="83">
        <f>C36*D36</f>
        <v>5.21</v>
      </c>
    </row>
    <row r="37" spans="1:5" x14ac:dyDescent="0.25">
      <c r="A37" s="59" t="s">
        <v>22</v>
      </c>
      <c r="B37" s="151" t="s">
        <v>337</v>
      </c>
      <c r="C37" s="49">
        <f t="shared" si="0"/>
        <v>2607.23</v>
      </c>
      <c r="D37" s="144">
        <v>2.5000000000000001E-2</v>
      </c>
      <c r="E37" s="83">
        <f>C37*D37</f>
        <v>65.180000000000007</v>
      </c>
    </row>
    <row r="38" spans="1:5" x14ac:dyDescent="0.25">
      <c r="A38" s="59" t="s">
        <v>24</v>
      </c>
      <c r="B38" s="153" t="s">
        <v>300</v>
      </c>
      <c r="C38" s="49">
        <f t="shared" si="0"/>
        <v>2607.23</v>
      </c>
      <c r="D38" s="144">
        <v>0.08</v>
      </c>
      <c r="E38" s="83">
        <f>C38*D38</f>
        <v>208.58</v>
      </c>
    </row>
    <row r="39" spans="1:5" ht="45" x14ac:dyDescent="0.25">
      <c r="A39" s="59" t="s">
        <v>25</v>
      </c>
      <c r="B39" s="152" t="s">
        <v>338</v>
      </c>
      <c r="C39" s="49">
        <f t="shared" si="0"/>
        <v>2607.23</v>
      </c>
      <c r="D39" s="144">
        <v>0.03</v>
      </c>
      <c r="E39" s="83">
        <f>C39*D39</f>
        <v>78.22</v>
      </c>
    </row>
    <row r="40" spans="1:5" x14ac:dyDescent="0.25">
      <c r="A40" s="59" t="s">
        <v>30</v>
      </c>
      <c r="B40" s="154" t="s">
        <v>301</v>
      </c>
      <c r="C40" s="49">
        <f t="shared" si="0"/>
        <v>2607.23</v>
      </c>
      <c r="D40" s="144">
        <v>6.0000000000000001E-3</v>
      </c>
      <c r="E40" s="83">
        <f>C40*D40</f>
        <v>15.64</v>
      </c>
    </row>
    <row r="41" spans="1:5" s="35" customFormat="1" x14ac:dyDescent="0.25">
      <c r="A41" s="262" t="s">
        <v>31</v>
      </c>
      <c r="B41" s="263"/>
      <c r="C41" s="264"/>
      <c r="D41" s="76">
        <f>SUM(D33:D40)</f>
        <v>0.36799999999999999</v>
      </c>
      <c r="E41" s="84">
        <f>SUM(E33:E40)</f>
        <v>959.46</v>
      </c>
    </row>
    <row r="42" spans="1:5" s="35" customFormat="1" x14ac:dyDescent="0.25">
      <c r="A42" s="305" t="s">
        <v>187</v>
      </c>
      <c r="B42" s="306"/>
      <c r="C42" s="306"/>
      <c r="D42" s="306"/>
      <c r="E42" s="307"/>
    </row>
    <row r="43" spans="1:5" s="35" customFormat="1" ht="30" customHeight="1" x14ac:dyDescent="0.25">
      <c r="A43" s="155" t="s">
        <v>211</v>
      </c>
      <c r="B43" s="156" t="s">
        <v>303</v>
      </c>
      <c r="C43" s="81" t="s">
        <v>205</v>
      </c>
      <c r="D43" s="82"/>
      <c r="E43" s="90" t="s">
        <v>10</v>
      </c>
    </row>
    <row r="44" spans="1:5" s="35" customFormat="1" x14ac:dyDescent="0.25">
      <c r="A44" s="157" t="s">
        <v>0</v>
      </c>
      <c r="B44" s="64" t="s">
        <v>146</v>
      </c>
      <c r="C44" s="179">
        <v>4.5</v>
      </c>
      <c r="D44" s="64"/>
      <c r="E44" s="180">
        <f>(32*C44)-(C13*0.06)</f>
        <v>46.92</v>
      </c>
    </row>
    <row r="45" spans="1:5" s="35" customFormat="1" x14ac:dyDescent="0.25">
      <c r="A45" s="158" t="s">
        <v>2</v>
      </c>
      <c r="B45" s="148" t="s">
        <v>304</v>
      </c>
      <c r="C45" s="177" t="s">
        <v>341</v>
      </c>
      <c r="D45" s="65"/>
      <c r="E45" s="87">
        <f>581.85-(581.85*0.99%)</f>
        <v>576.09</v>
      </c>
    </row>
    <row r="46" spans="1:5" s="35" customFormat="1" x14ac:dyDescent="0.25">
      <c r="A46" s="59" t="s">
        <v>3</v>
      </c>
      <c r="B46" s="60" t="s">
        <v>130</v>
      </c>
      <c r="C46" s="176"/>
      <c r="D46" s="66"/>
      <c r="E46" s="92">
        <v>0</v>
      </c>
    </row>
    <row r="47" spans="1:5" s="35" customFormat="1" ht="30" x14ac:dyDescent="0.25">
      <c r="A47" s="59" t="s">
        <v>5</v>
      </c>
      <c r="B47" s="60" t="s">
        <v>131</v>
      </c>
      <c r="C47" s="176" t="s">
        <v>342</v>
      </c>
      <c r="D47" s="66"/>
      <c r="E47" s="92">
        <f>1618.08*50%*0.0199*2/12</f>
        <v>2.68</v>
      </c>
    </row>
    <row r="48" spans="1:5" s="35" customFormat="1" x14ac:dyDescent="0.25">
      <c r="A48" s="59" t="s">
        <v>22</v>
      </c>
      <c r="B48" s="60" t="s">
        <v>132</v>
      </c>
      <c r="C48" s="211"/>
      <c r="D48" s="66"/>
      <c r="E48" s="83">
        <v>45.8</v>
      </c>
    </row>
    <row r="49" spans="1:5" s="35" customFormat="1" ht="15.75" customHeight="1" x14ac:dyDescent="0.25">
      <c r="A49" s="262" t="s">
        <v>26</v>
      </c>
      <c r="B49" s="263"/>
      <c r="C49" s="263"/>
      <c r="D49" s="264"/>
      <c r="E49" s="84">
        <f>SUM(E44:E48)</f>
        <v>671.49</v>
      </c>
    </row>
    <row r="50" spans="1:5" s="35" customFormat="1" ht="15.75" customHeight="1" x14ac:dyDescent="0.25">
      <c r="A50" s="305" t="s">
        <v>151</v>
      </c>
      <c r="B50" s="306"/>
      <c r="C50" s="306"/>
      <c r="D50" s="306"/>
      <c r="E50" s="307"/>
    </row>
    <row r="51" spans="1:5" s="35" customFormat="1" ht="15.75" customHeight="1" x14ac:dyDescent="0.25">
      <c r="A51" s="56" t="s">
        <v>141</v>
      </c>
      <c r="B51" s="145" t="s">
        <v>147</v>
      </c>
      <c r="C51" s="68"/>
      <c r="D51" s="68"/>
      <c r="E51" s="93">
        <f>E30</f>
        <v>424.35</v>
      </c>
    </row>
    <row r="52" spans="1:5" s="35" customFormat="1" ht="15.75" customHeight="1" x14ac:dyDescent="0.25">
      <c r="A52" s="56" t="s">
        <v>142</v>
      </c>
      <c r="B52" s="145" t="s">
        <v>148</v>
      </c>
      <c r="C52" s="68"/>
      <c r="D52" s="68"/>
      <c r="E52" s="93">
        <f>E41</f>
        <v>959.46</v>
      </c>
    </row>
    <row r="53" spans="1:5" s="35" customFormat="1" ht="15.75" customHeight="1" x14ac:dyDescent="0.25">
      <c r="A53" s="56" t="s">
        <v>211</v>
      </c>
      <c r="B53" s="145" t="s">
        <v>149</v>
      </c>
      <c r="C53" s="68"/>
      <c r="D53" s="68"/>
      <c r="E53" s="93">
        <f>E49</f>
        <v>671.49</v>
      </c>
    </row>
    <row r="54" spans="1:5" s="35" customFormat="1" ht="15.75" customHeight="1" x14ac:dyDescent="0.25">
      <c r="A54" s="272" t="s">
        <v>153</v>
      </c>
      <c r="B54" s="273"/>
      <c r="C54" s="273"/>
      <c r="D54" s="274"/>
      <c r="E54" s="89">
        <f>SUM(E51:E53)</f>
        <v>2055.3000000000002</v>
      </c>
    </row>
    <row r="55" spans="1:5" s="35" customFormat="1" ht="15.75" customHeight="1" x14ac:dyDescent="0.25">
      <c r="A55" s="256" t="s">
        <v>162</v>
      </c>
      <c r="B55" s="257"/>
      <c r="C55" s="257"/>
      <c r="D55" s="257"/>
      <c r="E55" s="258"/>
    </row>
    <row r="56" spans="1:5" s="35" customFormat="1" ht="30" customHeight="1" x14ac:dyDescent="0.25">
      <c r="A56" s="213" t="s">
        <v>305</v>
      </c>
      <c r="B56" s="159" t="s">
        <v>34</v>
      </c>
      <c r="C56" s="121" t="s">
        <v>205</v>
      </c>
      <c r="D56" s="75"/>
      <c r="E56" s="91" t="s">
        <v>10</v>
      </c>
    </row>
    <row r="57" spans="1:5" s="35" customFormat="1" ht="15.75" customHeight="1" x14ac:dyDescent="0.25">
      <c r="A57" s="59" t="s">
        <v>0</v>
      </c>
      <c r="B57" s="60" t="s">
        <v>35</v>
      </c>
      <c r="C57" s="49">
        <f>E$25</f>
        <v>2182.88</v>
      </c>
      <c r="D57" s="63">
        <v>4.5999999999999999E-3</v>
      </c>
      <c r="E57" s="83">
        <f>C57*D57</f>
        <v>10.039999999999999</v>
      </c>
    </row>
    <row r="58" spans="1:5" s="35" customFormat="1" ht="15.75" customHeight="1" x14ac:dyDescent="0.25">
      <c r="A58" s="59" t="s">
        <v>2</v>
      </c>
      <c r="B58" s="60" t="s">
        <v>36</v>
      </c>
      <c r="C58" s="49">
        <f>E$25</f>
        <v>2182.88</v>
      </c>
      <c r="D58" s="63">
        <v>4.0000000000000002E-4</v>
      </c>
      <c r="E58" s="83">
        <f>C58*D58</f>
        <v>0.87</v>
      </c>
    </row>
    <row r="59" spans="1:5" s="35" customFormat="1" ht="15.75" customHeight="1" x14ac:dyDescent="0.25">
      <c r="A59" s="59" t="s">
        <v>3</v>
      </c>
      <c r="B59" s="60" t="s">
        <v>37</v>
      </c>
      <c r="C59" s="49">
        <f>E$25</f>
        <v>2182.88</v>
      </c>
      <c r="D59" s="63">
        <v>1.9400000000000001E-2</v>
      </c>
      <c r="E59" s="83">
        <f>C59*D59</f>
        <v>42.35</v>
      </c>
    </row>
    <row r="60" spans="1:5" s="35" customFormat="1" ht="30" customHeight="1" x14ac:dyDescent="0.25">
      <c r="A60" s="59" t="s">
        <v>5</v>
      </c>
      <c r="B60" s="97" t="s">
        <v>306</v>
      </c>
      <c r="C60" s="49">
        <f>E$25</f>
        <v>2182.88</v>
      </c>
      <c r="D60" s="63">
        <v>7.1000000000000004E-3</v>
      </c>
      <c r="E60" s="83">
        <f>C60*D60</f>
        <v>15.5</v>
      </c>
    </row>
    <row r="61" spans="1:5" s="35" customFormat="1" ht="32.25" customHeight="1" x14ac:dyDescent="0.25">
      <c r="A61" s="59" t="s">
        <v>22</v>
      </c>
      <c r="B61" s="60" t="s">
        <v>194</v>
      </c>
      <c r="C61" s="49">
        <f>E$25</f>
        <v>2182.88</v>
      </c>
      <c r="D61" s="63">
        <v>0.04</v>
      </c>
      <c r="E61" s="83">
        <f>C61*D61</f>
        <v>87.32</v>
      </c>
    </row>
    <row r="62" spans="1:5" s="35" customFormat="1" x14ac:dyDescent="0.25">
      <c r="A62" s="270" t="s">
        <v>154</v>
      </c>
      <c r="B62" s="271"/>
      <c r="C62" s="271"/>
      <c r="D62" s="218">
        <f>SUM(D57:D61)</f>
        <v>7.1499999999999994E-2</v>
      </c>
      <c r="E62" s="110">
        <f>SUM(E57:E61)</f>
        <v>156.08000000000001</v>
      </c>
    </row>
    <row r="63" spans="1:5" s="35" customFormat="1" ht="15.75" customHeight="1" x14ac:dyDescent="0.25">
      <c r="A63" s="256" t="s">
        <v>163</v>
      </c>
      <c r="B63" s="257"/>
      <c r="C63" s="257"/>
      <c r="D63" s="257"/>
      <c r="E63" s="258"/>
    </row>
    <row r="64" spans="1:5" s="35" customFormat="1" ht="30" customHeight="1" x14ac:dyDescent="0.25">
      <c r="A64" s="213" t="s">
        <v>28</v>
      </c>
      <c r="B64" s="69" t="s">
        <v>307</v>
      </c>
      <c r="C64" s="121" t="s">
        <v>205</v>
      </c>
      <c r="D64" s="94"/>
      <c r="E64" s="91" t="s">
        <v>10</v>
      </c>
    </row>
    <row r="65" spans="1:5" s="35" customFormat="1" x14ac:dyDescent="0.25">
      <c r="A65" s="59" t="s">
        <v>0</v>
      </c>
      <c r="B65" s="150" t="s">
        <v>195</v>
      </c>
      <c r="C65" s="50">
        <f>E$25+E$54+E$62+E84</f>
        <v>4408.9799999999996</v>
      </c>
      <c r="D65" s="63">
        <f>D29/12</f>
        <v>9.2999999999999992E-3</v>
      </c>
      <c r="E65" s="83">
        <f t="shared" ref="E65:E70" si="1">C65*D65</f>
        <v>41</v>
      </c>
    </row>
    <row r="66" spans="1:5" s="35" customFormat="1" x14ac:dyDescent="0.25">
      <c r="A66" s="59" t="s">
        <v>2</v>
      </c>
      <c r="B66" s="150" t="s">
        <v>196</v>
      </c>
      <c r="C66" s="50">
        <f>E$25+E$54+E$62+E84</f>
        <v>4408.9799999999996</v>
      </c>
      <c r="D66" s="63">
        <v>1.66E-2</v>
      </c>
      <c r="E66" s="83">
        <f t="shared" si="1"/>
        <v>73.19</v>
      </c>
    </row>
    <row r="67" spans="1:5" s="35" customFormat="1" x14ac:dyDescent="0.25">
      <c r="A67" s="59" t="s">
        <v>3</v>
      </c>
      <c r="B67" s="150" t="s">
        <v>197</v>
      </c>
      <c r="C67" s="50">
        <f>E$25+E$54+E$62+E84</f>
        <v>4408.9799999999996</v>
      </c>
      <c r="D67" s="63">
        <v>2.0000000000000001E-4</v>
      </c>
      <c r="E67" s="83">
        <f t="shared" si="1"/>
        <v>0.88</v>
      </c>
    </row>
    <row r="68" spans="1:5" s="35" customFormat="1" x14ac:dyDescent="0.25">
      <c r="A68" s="59" t="s">
        <v>5</v>
      </c>
      <c r="B68" s="150" t="s">
        <v>198</v>
      </c>
      <c r="C68" s="50">
        <f>E$25+E$54+E$62+E84</f>
        <v>4408.9799999999996</v>
      </c>
      <c r="D68" s="63">
        <v>2.7000000000000001E-3</v>
      </c>
      <c r="E68" s="83">
        <f t="shared" si="1"/>
        <v>11.9</v>
      </c>
    </row>
    <row r="69" spans="1:5" s="35" customFormat="1" x14ac:dyDescent="0.25">
      <c r="A69" s="59" t="s">
        <v>22</v>
      </c>
      <c r="B69" s="150" t="s">
        <v>199</v>
      </c>
      <c r="C69" s="50">
        <f>E$25+E$54+E$62+E84</f>
        <v>4408.9799999999996</v>
      </c>
      <c r="D69" s="63">
        <v>2.9999999999999997E-4</v>
      </c>
      <c r="E69" s="83">
        <f t="shared" si="1"/>
        <v>1.32</v>
      </c>
    </row>
    <row r="70" spans="1:5" s="35" customFormat="1" x14ac:dyDescent="0.25">
      <c r="A70" s="59" t="s">
        <v>24</v>
      </c>
      <c r="B70" s="150" t="s">
        <v>200</v>
      </c>
      <c r="C70" s="50">
        <f>E$25+E$54+E$62+E84</f>
        <v>4408.9799999999996</v>
      </c>
      <c r="D70" s="63">
        <v>0</v>
      </c>
      <c r="E70" s="83">
        <f t="shared" si="1"/>
        <v>0</v>
      </c>
    </row>
    <row r="71" spans="1:5" s="35" customFormat="1" ht="15.75" customHeight="1" x14ac:dyDescent="0.25">
      <c r="A71" s="262" t="s">
        <v>201</v>
      </c>
      <c r="B71" s="263"/>
      <c r="C71" s="264"/>
      <c r="D71" s="95">
        <f>SUM(D65:D70)</f>
        <v>2.9100000000000001E-2</v>
      </c>
      <c r="E71" s="84">
        <f>SUM(E65:E70)</f>
        <v>128.29</v>
      </c>
    </row>
    <row r="72" spans="1:5" s="35" customFormat="1" ht="15.75" customHeight="1" x14ac:dyDescent="0.25">
      <c r="A72" s="305" t="s">
        <v>202</v>
      </c>
      <c r="B72" s="306"/>
      <c r="C72" s="306"/>
      <c r="D72" s="306"/>
      <c r="E72" s="307"/>
    </row>
    <row r="73" spans="1:5" s="35" customFormat="1" x14ac:dyDescent="0.25">
      <c r="A73" s="213"/>
      <c r="B73" s="58" t="s">
        <v>202</v>
      </c>
      <c r="C73" s="97"/>
      <c r="D73" s="97"/>
      <c r="E73" s="91" t="s">
        <v>10</v>
      </c>
    </row>
    <row r="74" spans="1:5" s="35" customFormat="1" ht="15.75" customHeight="1" x14ac:dyDescent="0.25">
      <c r="A74" s="59" t="s">
        <v>0</v>
      </c>
      <c r="B74" s="214" t="s">
        <v>203</v>
      </c>
      <c r="C74" s="176"/>
      <c r="D74" s="63">
        <v>0</v>
      </c>
      <c r="E74" s="83">
        <f>(E$25+E$54+E$62+E84)*D74</f>
        <v>0</v>
      </c>
    </row>
    <row r="75" spans="1:5" s="35" customFormat="1" ht="15.75" customHeight="1" x14ac:dyDescent="0.25">
      <c r="A75" s="262" t="s">
        <v>204</v>
      </c>
      <c r="B75" s="263"/>
      <c r="C75" s="264"/>
      <c r="D75" s="85">
        <f>SUM(D74:D74)</f>
        <v>0</v>
      </c>
      <c r="E75" s="84">
        <f>SUM(E74:E74)</f>
        <v>0</v>
      </c>
    </row>
    <row r="76" spans="1:5" s="35" customFormat="1" ht="15.75" customHeight="1" x14ac:dyDescent="0.25">
      <c r="A76" s="259" t="s">
        <v>308</v>
      </c>
      <c r="B76" s="260"/>
      <c r="C76" s="260"/>
      <c r="D76" s="260"/>
      <c r="E76" s="261"/>
    </row>
    <row r="77" spans="1:5" s="35" customFormat="1" ht="15.75" customHeight="1" x14ac:dyDescent="0.25">
      <c r="A77" s="213">
        <v>4</v>
      </c>
      <c r="B77" s="108" t="s">
        <v>309</v>
      </c>
      <c r="C77" s="146"/>
      <c r="D77" s="109"/>
      <c r="E77" s="91" t="s">
        <v>10</v>
      </c>
    </row>
    <row r="78" spans="1:5" s="35" customFormat="1" ht="15.75" customHeight="1" x14ac:dyDescent="0.25">
      <c r="A78" s="59" t="s">
        <v>28</v>
      </c>
      <c r="B78" s="60" t="s">
        <v>307</v>
      </c>
      <c r="C78" s="146"/>
      <c r="D78" s="63">
        <f>D71</f>
        <v>2.9100000000000001E-2</v>
      </c>
      <c r="E78" s="83">
        <f>E71</f>
        <v>128.29</v>
      </c>
    </row>
    <row r="79" spans="1:5" s="35" customFormat="1" ht="15.75" customHeight="1" x14ac:dyDescent="0.25">
      <c r="A79" s="59" t="s">
        <v>32</v>
      </c>
      <c r="B79" s="60" t="s">
        <v>202</v>
      </c>
      <c r="C79" s="146"/>
      <c r="D79" s="63">
        <v>0</v>
      </c>
      <c r="E79" s="83">
        <f>(D$25+D$53+D$61)*D79</f>
        <v>0</v>
      </c>
    </row>
    <row r="80" spans="1:5" s="35" customFormat="1" ht="15.75" customHeight="1" x14ac:dyDescent="0.25">
      <c r="A80" s="262" t="s">
        <v>31</v>
      </c>
      <c r="B80" s="263"/>
      <c r="C80" s="264"/>
      <c r="D80" s="85">
        <f>SUM(D78:D79)</f>
        <v>2.9100000000000001E-2</v>
      </c>
      <c r="E80" s="84">
        <f>SUM(E78:E79)</f>
        <v>128.29</v>
      </c>
    </row>
    <row r="81" spans="1:5" s="35" customFormat="1" ht="15.75" customHeight="1" x14ac:dyDescent="0.25">
      <c r="A81" s="272" t="s">
        <v>155</v>
      </c>
      <c r="B81" s="273"/>
      <c r="C81" s="273"/>
      <c r="D81" s="274"/>
      <c r="E81" s="96">
        <f>SUM(E71+E75)</f>
        <v>128.29</v>
      </c>
    </row>
    <row r="82" spans="1:5" s="35" customFormat="1" ht="15.75" customHeight="1" x14ac:dyDescent="0.25">
      <c r="A82" s="256" t="s">
        <v>164</v>
      </c>
      <c r="B82" s="257"/>
      <c r="C82" s="257"/>
      <c r="D82" s="257"/>
      <c r="E82" s="258"/>
    </row>
    <row r="83" spans="1:5" s="35" customFormat="1" ht="15.75" customHeight="1" x14ac:dyDescent="0.25">
      <c r="A83" s="213">
        <v>5</v>
      </c>
      <c r="B83" s="159" t="s">
        <v>27</v>
      </c>
      <c r="C83" s="97"/>
      <c r="D83" s="97"/>
      <c r="E83" s="91" t="s">
        <v>10</v>
      </c>
    </row>
    <row r="84" spans="1:5" s="35" customFormat="1" ht="15.75" customHeight="1" x14ac:dyDescent="0.25">
      <c r="A84" s="158" t="s">
        <v>0</v>
      </c>
      <c r="B84" s="148" t="s">
        <v>310</v>
      </c>
      <c r="C84" s="70"/>
      <c r="D84" s="67"/>
      <c r="E84" s="83">
        <f>Uniformes!H15</f>
        <v>14.72</v>
      </c>
    </row>
    <row r="85" spans="1:5" s="35" customFormat="1" ht="15.75" customHeight="1" x14ac:dyDescent="0.25">
      <c r="A85" s="158" t="s">
        <v>2</v>
      </c>
      <c r="B85" s="148" t="s">
        <v>311</v>
      </c>
      <c r="C85" s="70"/>
      <c r="D85" s="67"/>
      <c r="E85" s="83">
        <f>Insumos!H56</f>
        <v>2659.11</v>
      </c>
    </row>
    <row r="86" spans="1:5" s="35" customFormat="1" ht="15.75" customHeight="1" x14ac:dyDescent="0.25">
      <c r="A86" s="158" t="s">
        <v>3</v>
      </c>
      <c r="B86" s="148" t="s">
        <v>224</v>
      </c>
      <c r="C86" s="70"/>
      <c r="D86" s="67"/>
      <c r="E86" s="83">
        <f>'Equipamentos-Mater. Permanentes'!H34</f>
        <v>146.5</v>
      </c>
    </row>
    <row r="87" spans="1:5" s="35" customFormat="1" ht="15.75" customHeight="1" x14ac:dyDescent="0.25">
      <c r="A87" s="158" t="s">
        <v>5</v>
      </c>
      <c r="B87" s="148" t="s">
        <v>133</v>
      </c>
      <c r="C87" s="70"/>
      <c r="D87" s="67"/>
      <c r="E87" s="83">
        <v>0</v>
      </c>
    </row>
    <row r="88" spans="1:5" s="35" customFormat="1" ht="15.75" customHeight="1" x14ac:dyDescent="0.25">
      <c r="A88" s="270" t="s">
        <v>156</v>
      </c>
      <c r="B88" s="271"/>
      <c r="C88" s="271"/>
      <c r="D88" s="346"/>
      <c r="E88" s="89">
        <f>SUM(E84:E87)</f>
        <v>2820.33</v>
      </c>
    </row>
    <row r="89" spans="1:5" s="35" customFormat="1" ht="23.25" customHeight="1" x14ac:dyDescent="0.25">
      <c r="A89" s="343" t="s">
        <v>312</v>
      </c>
      <c r="B89" s="344"/>
      <c r="C89" s="344"/>
      <c r="D89" s="345"/>
      <c r="E89" s="107">
        <f>E88+E81+E62+E54+E25</f>
        <v>7342.88</v>
      </c>
    </row>
    <row r="90" spans="1:5" s="35" customFormat="1" ht="19.5" customHeight="1" x14ac:dyDescent="0.25">
      <c r="A90" s="256" t="s">
        <v>165</v>
      </c>
      <c r="B90" s="257"/>
      <c r="C90" s="257"/>
      <c r="D90" s="257"/>
      <c r="E90" s="258"/>
    </row>
    <row r="91" spans="1:5" s="35" customFormat="1" ht="30" customHeight="1" x14ac:dyDescent="0.25">
      <c r="A91" s="213">
        <v>6</v>
      </c>
      <c r="B91" s="159" t="s">
        <v>38</v>
      </c>
      <c r="C91" s="48" t="s">
        <v>205</v>
      </c>
      <c r="D91" s="48"/>
      <c r="E91" s="91" t="s">
        <v>10</v>
      </c>
    </row>
    <row r="92" spans="1:5" s="35" customFormat="1" x14ac:dyDescent="0.25">
      <c r="A92" s="213" t="s">
        <v>0</v>
      </c>
      <c r="B92" s="60" t="s">
        <v>39</v>
      </c>
      <c r="C92" s="99">
        <f>E89</f>
        <v>7342.88</v>
      </c>
      <c r="D92" s="63">
        <v>0.05</v>
      </c>
      <c r="E92" s="83">
        <f>+C92*D92</f>
        <v>367.14</v>
      </c>
    </row>
    <row r="93" spans="1:5" s="35" customFormat="1" x14ac:dyDescent="0.25">
      <c r="A93" s="213" t="s">
        <v>2</v>
      </c>
      <c r="B93" s="60" t="s">
        <v>40</v>
      </c>
      <c r="C93" s="99">
        <f>E89+E92</f>
        <v>7710.02</v>
      </c>
      <c r="D93" s="63">
        <v>0.1</v>
      </c>
      <c r="E93" s="83">
        <f>D93*(C93)</f>
        <v>771</v>
      </c>
    </row>
    <row r="94" spans="1:5" s="35" customFormat="1" ht="30.75" customHeight="1" x14ac:dyDescent="0.25">
      <c r="A94" s="321" t="s">
        <v>3</v>
      </c>
      <c r="B94" s="214" t="s">
        <v>313</v>
      </c>
      <c r="C94" s="60"/>
      <c r="D94" s="100">
        <f>1-D102</f>
        <v>0.85750000000000004</v>
      </c>
      <c r="E94" s="83">
        <f>+E89+E92+E93</f>
        <v>8481.02</v>
      </c>
    </row>
    <row r="95" spans="1:5" s="35" customFormat="1" x14ac:dyDescent="0.25">
      <c r="A95" s="321"/>
      <c r="B95" s="215" t="s">
        <v>41</v>
      </c>
      <c r="C95" s="62"/>
      <c r="D95" s="211"/>
      <c r="E95" s="117">
        <f>+E94/D94</f>
        <v>9890.4</v>
      </c>
    </row>
    <row r="96" spans="1:5" s="35" customFormat="1" x14ac:dyDescent="0.25">
      <c r="A96" s="321"/>
      <c r="B96" s="215" t="s">
        <v>42</v>
      </c>
      <c r="C96" s="98"/>
      <c r="D96" s="101"/>
      <c r="E96" s="83"/>
    </row>
    <row r="97" spans="1:5" s="35" customFormat="1" x14ac:dyDescent="0.25">
      <c r="A97" s="321"/>
      <c r="B97" s="214" t="s">
        <v>353</v>
      </c>
      <c r="C97" s="77">
        <f>E95</f>
        <v>9890.4</v>
      </c>
      <c r="D97" s="63">
        <v>1.6500000000000001E-2</v>
      </c>
      <c r="E97" s="83">
        <f>C97*D97</f>
        <v>163.19</v>
      </c>
    </row>
    <row r="98" spans="1:5" s="35" customFormat="1" x14ac:dyDescent="0.25">
      <c r="A98" s="321"/>
      <c r="B98" s="214" t="s">
        <v>354</v>
      </c>
      <c r="C98" s="77">
        <f>E95</f>
        <v>9890.4</v>
      </c>
      <c r="D98" s="63">
        <v>7.5999999999999998E-2</v>
      </c>
      <c r="E98" s="83">
        <f>C98*D98</f>
        <v>751.67</v>
      </c>
    </row>
    <row r="99" spans="1:5" s="35" customFormat="1" x14ac:dyDescent="0.25">
      <c r="A99" s="321"/>
      <c r="B99" s="160" t="s">
        <v>43</v>
      </c>
      <c r="C99" s="78"/>
      <c r="D99" s="211"/>
      <c r="E99" s="83"/>
    </row>
    <row r="100" spans="1:5" s="35" customFormat="1" x14ac:dyDescent="0.25">
      <c r="A100" s="321"/>
      <c r="B100" s="160" t="s">
        <v>44</v>
      </c>
      <c r="C100" s="78"/>
      <c r="D100" s="78"/>
      <c r="E100" s="83"/>
    </row>
    <row r="101" spans="1:5" s="35" customFormat="1" ht="16.5" thickBot="1" x14ac:dyDescent="0.3">
      <c r="A101" s="322"/>
      <c r="B101" s="161" t="s">
        <v>355</v>
      </c>
      <c r="C101" s="79">
        <f>E95</f>
        <v>9890.4</v>
      </c>
      <c r="D101" s="102">
        <v>0.05</v>
      </c>
      <c r="E101" s="118">
        <f>C101*D101</f>
        <v>494.52</v>
      </c>
    </row>
    <row r="102" spans="1:5" s="35" customFormat="1" ht="16.5" thickBot="1" x14ac:dyDescent="0.3">
      <c r="A102" s="71"/>
      <c r="B102" s="338" t="s">
        <v>45</v>
      </c>
      <c r="C102" s="339"/>
      <c r="D102" s="116">
        <f>SUM(D97:D101)</f>
        <v>0.14249999999999999</v>
      </c>
      <c r="E102" s="115">
        <f>SUM(E97:E101)</f>
        <v>1409.38</v>
      </c>
    </row>
    <row r="103" spans="1:5" s="35" customFormat="1" ht="15.75" customHeight="1" x14ac:dyDescent="0.25">
      <c r="A103" s="323" t="s">
        <v>46</v>
      </c>
      <c r="B103" s="324"/>
      <c r="C103" s="324"/>
      <c r="D103" s="325"/>
      <c r="E103" s="103">
        <f>+E92+E93+E102</f>
        <v>2547.52</v>
      </c>
    </row>
    <row r="104" spans="1:5" s="35" customFormat="1" ht="15.75" customHeight="1" x14ac:dyDescent="0.25">
      <c r="A104" s="326" t="s">
        <v>47</v>
      </c>
      <c r="B104" s="327"/>
      <c r="C104" s="327"/>
      <c r="D104" s="328"/>
      <c r="E104" s="104" t="s">
        <v>10</v>
      </c>
    </row>
    <row r="105" spans="1:5" s="35" customFormat="1" x14ac:dyDescent="0.25">
      <c r="A105" s="59" t="s">
        <v>0</v>
      </c>
      <c r="B105" s="329" t="s">
        <v>48</v>
      </c>
      <c r="C105" s="330"/>
      <c r="D105" s="331"/>
      <c r="E105" s="83">
        <f>+E25</f>
        <v>2182.88</v>
      </c>
    </row>
    <row r="106" spans="1:5" s="35" customFormat="1" x14ac:dyDescent="0.25">
      <c r="A106" s="59" t="s">
        <v>2</v>
      </c>
      <c r="B106" s="329" t="s">
        <v>159</v>
      </c>
      <c r="C106" s="330"/>
      <c r="D106" s="331"/>
      <c r="E106" s="83">
        <f>+E54</f>
        <v>2055.3000000000002</v>
      </c>
    </row>
    <row r="107" spans="1:5" s="35" customFormat="1" x14ac:dyDescent="0.25">
      <c r="A107" s="59" t="s">
        <v>3</v>
      </c>
      <c r="B107" s="329" t="s">
        <v>157</v>
      </c>
      <c r="C107" s="330"/>
      <c r="D107" s="331"/>
      <c r="E107" s="83">
        <f>E62</f>
        <v>156.08000000000001</v>
      </c>
    </row>
    <row r="108" spans="1:5" s="35" customFormat="1" x14ac:dyDescent="0.25">
      <c r="A108" s="59" t="s">
        <v>5</v>
      </c>
      <c r="B108" s="329" t="s">
        <v>150</v>
      </c>
      <c r="C108" s="330"/>
      <c r="D108" s="331"/>
      <c r="E108" s="83">
        <f>E81</f>
        <v>128.29</v>
      </c>
    </row>
    <row r="109" spans="1:5" s="35" customFormat="1" x14ac:dyDescent="0.25">
      <c r="A109" s="59" t="s">
        <v>22</v>
      </c>
      <c r="B109" s="329" t="s">
        <v>158</v>
      </c>
      <c r="C109" s="330"/>
      <c r="D109" s="331"/>
      <c r="E109" s="83">
        <f>E88</f>
        <v>2820.33</v>
      </c>
    </row>
    <row r="110" spans="1:5" s="35" customFormat="1" ht="15.75" customHeight="1" x14ac:dyDescent="0.25">
      <c r="A110" s="335" t="s">
        <v>160</v>
      </c>
      <c r="B110" s="336"/>
      <c r="C110" s="336"/>
      <c r="D110" s="337"/>
      <c r="E110" s="105">
        <f>SUM(E105:E109)</f>
        <v>7342.88</v>
      </c>
    </row>
    <row r="111" spans="1:5" s="35" customFormat="1" x14ac:dyDescent="0.25">
      <c r="A111" s="213" t="s">
        <v>24</v>
      </c>
      <c r="B111" s="332" t="s">
        <v>161</v>
      </c>
      <c r="C111" s="333"/>
      <c r="D111" s="334"/>
      <c r="E111" s="83">
        <f>+E103</f>
        <v>2547.52</v>
      </c>
    </row>
    <row r="112" spans="1:5" s="35" customFormat="1" ht="16.5" customHeight="1" thickBot="1" x14ac:dyDescent="0.3">
      <c r="A112" s="317" t="s">
        <v>49</v>
      </c>
      <c r="B112" s="318"/>
      <c r="C112" s="318"/>
      <c r="D112" s="319"/>
      <c r="E112" s="106">
        <f>+E110+E111</f>
        <v>9890.4</v>
      </c>
    </row>
    <row r="113" spans="2:5" x14ac:dyDescent="0.25">
      <c r="D113" s="36"/>
      <c r="E113" s="38"/>
    </row>
    <row r="114" spans="2:5" x14ac:dyDescent="0.25">
      <c r="B114" s="33"/>
      <c r="C114" s="33"/>
      <c r="D114" s="36"/>
      <c r="E114" s="39"/>
    </row>
    <row r="115" spans="2:5" x14ac:dyDescent="0.25">
      <c r="B115" s="33"/>
      <c r="C115" s="33"/>
      <c r="D115" s="36"/>
      <c r="E115" s="39" t="s">
        <v>128</v>
      </c>
    </row>
    <row r="116" spans="2:5" x14ac:dyDescent="0.25">
      <c r="B116" s="33"/>
      <c r="C116" s="320"/>
      <c r="D116" s="320"/>
      <c r="E116" s="320"/>
    </row>
    <row r="117" spans="2:5" x14ac:dyDescent="0.25">
      <c r="B117" s="33"/>
      <c r="C117" s="33"/>
      <c r="D117" s="36"/>
      <c r="E117" s="40"/>
    </row>
    <row r="119" spans="2:5" x14ac:dyDescent="0.25">
      <c r="B119" s="41"/>
    </row>
    <row r="124" spans="2:5" x14ac:dyDescent="0.25">
      <c r="B124" s="33"/>
      <c r="C124" s="33"/>
    </row>
  </sheetData>
  <mergeCells count="59">
    <mergeCell ref="C13:E13"/>
    <mergeCell ref="A49:D49"/>
    <mergeCell ref="A71:C71"/>
    <mergeCell ref="A50:E50"/>
    <mergeCell ref="A90:E90"/>
    <mergeCell ref="A89:D89"/>
    <mergeCell ref="A54:D54"/>
    <mergeCell ref="A30:C30"/>
    <mergeCell ref="C21:D21"/>
    <mergeCell ref="C22:D22"/>
    <mergeCell ref="C23:D23"/>
    <mergeCell ref="A25:D25"/>
    <mergeCell ref="B17:D17"/>
    <mergeCell ref="A88:D88"/>
    <mergeCell ref="A72:E72"/>
    <mergeCell ref="A75:C75"/>
    <mergeCell ref="A112:D112"/>
    <mergeCell ref="C116:E116"/>
    <mergeCell ref="A94:A101"/>
    <mergeCell ref="A103:D103"/>
    <mergeCell ref="A104:D104"/>
    <mergeCell ref="B107:D107"/>
    <mergeCell ref="B111:D111"/>
    <mergeCell ref="B105:D105"/>
    <mergeCell ref="B106:D106"/>
    <mergeCell ref="A110:D110"/>
    <mergeCell ref="B108:D108"/>
    <mergeCell ref="B109:D109"/>
    <mergeCell ref="B102:C102"/>
    <mergeCell ref="A2:E2"/>
    <mergeCell ref="C4:E4"/>
    <mergeCell ref="C5:E5"/>
    <mergeCell ref="C6:E6"/>
    <mergeCell ref="A3:E3"/>
    <mergeCell ref="A10:E10"/>
    <mergeCell ref="A1:E1"/>
    <mergeCell ref="A16:E16"/>
    <mergeCell ref="C7:E7"/>
    <mergeCell ref="A55:E55"/>
    <mergeCell ref="C20:D20"/>
    <mergeCell ref="A8:E8"/>
    <mergeCell ref="A9:E9"/>
    <mergeCell ref="C14:E14"/>
    <mergeCell ref="C18:D18"/>
    <mergeCell ref="C19:D19"/>
    <mergeCell ref="A11:D11"/>
    <mergeCell ref="C12:E12"/>
    <mergeCell ref="C15:E15"/>
    <mergeCell ref="A26:E26"/>
    <mergeCell ref="A42:E42"/>
    <mergeCell ref="A82:E82"/>
    <mergeCell ref="A63:E63"/>
    <mergeCell ref="A76:E76"/>
    <mergeCell ref="A80:C80"/>
    <mergeCell ref="C24:D24"/>
    <mergeCell ref="A31:E31"/>
    <mergeCell ref="A41:C41"/>
    <mergeCell ref="A62:C62"/>
    <mergeCell ref="A81:D81"/>
  </mergeCells>
  <hyperlinks>
    <hyperlink ref="B40" r:id="rId1" display="08 - Sebrae 0,3% ou 0,6% - IN nº 03, MPS/SRP/2005, Anexo II e III ver código da Tabela"/>
  </hyperlinks>
  <printOptions horizontalCentered="1"/>
  <pageMargins left="0.31496062992125984" right="0.31496062992125984" top="0.35433070866141736" bottom="1.1811023622047245" header="3.937007874015748E-2" footer="0.31496062992125984"/>
  <pageSetup paperSize="9" scale="37" orientation="portrait" r:id="rId2"/>
  <headerFooter differentFirst="1">
    <firstFooter>&amp;R&amp;G</firstFooter>
  </headerFooter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0"/>
  <sheetViews>
    <sheetView view="pageBreakPreview" zoomScaleNormal="100" zoomScaleSheetLayoutView="100" workbookViewId="0">
      <selection activeCell="N30" sqref="N30"/>
    </sheetView>
  </sheetViews>
  <sheetFormatPr defaultRowHeight="15" x14ac:dyDescent="0.25"/>
  <cols>
    <col min="1" max="1" width="9.85546875" bestFit="1" customWidth="1"/>
    <col min="2" max="2" width="41.7109375" customWidth="1"/>
    <col min="3" max="8" width="15.7109375" customWidth="1"/>
  </cols>
  <sheetData>
    <row r="1" spans="1:8" ht="15.75" thickBot="1" x14ac:dyDescent="0.3">
      <c r="A1" s="359" t="s">
        <v>175</v>
      </c>
      <c r="B1" s="360"/>
      <c r="C1" s="360"/>
      <c r="D1" s="360"/>
      <c r="E1" s="360"/>
      <c r="F1" s="360"/>
      <c r="G1" s="360"/>
      <c r="H1" s="361"/>
    </row>
    <row r="2" spans="1:8" x14ac:dyDescent="0.25">
      <c r="A2" s="365"/>
      <c r="B2" s="366"/>
      <c r="C2" s="366"/>
      <c r="D2" s="366"/>
      <c r="E2" s="366"/>
      <c r="F2" s="366"/>
      <c r="G2" s="366"/>
      <c r="H2" s="367"/>
    </row>
    <row r="3" spans="1:8" ht="30" customHeight="1" x14ac:dyDescent="0.25">
      <c r="A3" s="173" t="s">
        <v>176</v>
      </c>
      <c r="B3" s="142" t="s">
        <v>177</v>
      </c>
      <c r="C3" s="142" t="s">
        <v>178</v>
      </c>
      <c r="D3" s="142" t="s">
        <v>179</v>
      </c>
      <c r="E3" s="142" t="s">
        <v>180</v>
      </c>
      <c r="F3" s="142" t="s">
        <v>181</v>
      </c>
      <c r="G3" s="142" t="s">
        <v>206</v>
      </c>
      <c r="H3" s="143" t="s">
        <v>207</v>
      </c>
    </row>
    <row r="4" spans="1:8" x14ac:dyDescent="0.25">
      <c r="A4" s="52">
        <v>1</v>
      </c>
      <c r="B4" s="197" t="s">
        <v>209</v>
      </c>
      <c r="C4" s="177" t="s">
        <v>178</v>
      </c>
      <c r="D4" s="177">
        <v>1</v>
      </c>
      <c r="E4" s="177" t="s">
        <v>193</v>
      </c>
      <c r="F4" s="168">
        <v>50.9</v>
      </c>
      <c r="G4" s="168">
        <f>F4*D4</f>
        <v>50.9</v>
      </c>
      <c r="H4" s="169">
        <f>G4/12</f>
        <v>4.24</v>
      </c>
    </row>
    <row r="5" spans="1:8" x14ac:dyDescent="0.25">
      <c r="A5" s="52">
        <v>2</v>
      </c>
      <c r="B5" s="200" t="s">
        <v>290</v>
      </c>
      <c r="C5" s="177" t="s">
        <v>178</v>
      </c>
      <c r="D5" s="177">
        <v>1</v>
      </c>
      <c r="E5" s="177" t="s">
        <v>193</v>
      </c>
      <c r="F5" s="168">
        <v>24.7</v>
      </c>
      <c r="G5" s="168">
        <f>F5*D5</f>
        <v>24.7</v>
      </c>
      <c r="H5" s="169">
        <f>G5/12</f>
        <v>2.06</v>
      </c>
    </row>
    <row r="6" spans="1:8" x14ac:dyDescent="0.25">
      <c r="A6" s="52">
        <v>3</v>
      </c>
      <c r="B6" s="197" t="s">
        <v>291</v>
      </c>
      <c r="C6" s="177" t="s">
        <v>182</v>
      </c>
      <c r="D6" s="177">
        <v>1</v>
      </c>
      <c r="E6" s="177" t="s">
        <v>193</v>
      </c>
      <c r="F6" s="168">
        <v>43.87</v>
      </c>
      <c r="G6" s="168">
        <f>F6*D6</f>
        <v>43.87</v>
      </c>
      <c r="H6" s="169">
        <f>G6/12</f>
        <v>3.66</v>
      </c>
    </row>
    <row r="7" spans="1:8" x14ac:dyDescent="0.25">
      <c r="A7" s="52">
        <v>4</v>
      </c>
      <c r="B7" s="200" t="s">
        <v>185</v>
      </c>
      <c r="C7" s="177" t="s">
        <v>178</v>
      </c>
      <c r="D7" s="177">
        <v>1</v>
      </c>
      <c r="E7" s="177" t="s">
        <v>193</v>
      </c>
      <c r="F7" s="168">
        <v>4.7300000000000004</v>
      </c>
      <c r="G7" s="168">
        <f>F7*D7</f>
        <v>4.7300000000000004</v>
      </c>
      <c r="H7" s="169">
        <f>G7/12</f>
        <v>0.39</v>
      </c>
    </row>
    <row r="8" spans="1:8" x14ac:dyDescent="0.25">
      <c r="A8" s="52">
        <v>5</v>
      </c>
      <c r="B8" s="197" t="s">
        <v>324</v>
      </c>
      <c r="C8" s="177" t="s">
        <v>182</v>
      </c>
      <c r="D8" s="177">
        <v>1</v>
      </c>
      <c r="E8" s="177" t="s">
        <v>193</v>
      </c>
      <c r="F8" s="168">
        <v>3</v>
      </c>
      <c r="G8" s="168">
        <f>F8*D8</f>
        <v>3</v>
      </c>
      <c r="H8" s="169">
        <f>G8/12</f>
        <v>0.25</v>
      </c>
    </row>
    <row r="9" spans="1:8" x14ac:dyDescent="0.25">
      <c r="A9" s="52">
        <v>6</v>
      </c>
      <c r="B9" s="200" t="s">
        <v>184</v>
      </c>
      <c r="C9" s="177" t="s">
        <v>178</v>
      </c>
      <c r="D9" s="177">
        <v>1</v>
      </c>
      <c r="E9" s="177" t="s">
        <v>193</v>
      </c>
      <c r="F9" s="168">
        <v>9</v>
      </c>
      <c r="G9" s="168">
        <f>F9*D9</f>
        <v>9</v>
      </c>
      <c r="H9" s="169">
        <f>G9/12</f>
        <v>0.75</v>
      </c>
    </row>
    <row r="10" spans="1:8" x14ac:dyDescent="0.25">
      <c r="A10" s="52">
        <v>7</v>
      </c>
      <c r="B10" s="200" t="s">
        <v>330</v>
      </c>
      <c r="C10" s="177" t="s">
        <v>183</v>
      </c>
      <c r="D10" s="177">
        <v>1</v>
      </c>
      <c r="E10" s="177" t="s">
        <v>193</v>
      </c>
      <c r="F10" s="168">
        <f>0.18*100</f>
        <v>18</v>
      </c>
      <c r="G10" s="168">
        <f>F10*D10</f>
        <v>18</v>
      </c>
      <c r="H10" s="169">
        <f>G10/12</f>
        <v>1.5</v>
      </c>
    </row>
    <row r="11" spans="1:8" x14ac:dyDescent="0.25">
      <c r="A11" s="52">
        <v>8</v>
      </c>
      <c r="B11" s="200" t="s">
        <v>329</v>
      </c>
      <c r="C11" s="177" t="s">
        <v>183</v>
      </c>
      <c r="D11" s="177">
        <v>1</v>
      </c>
      <c r="E11" s="177" t="s">
        <v>193</v>
      </c>
      <c r="F11" s="168">
        <v>6.56</v>
      </c>
      <c r="G11" s="168">
        <f>F11*D11</f>
        <v>6.56</v>
      </c>
      <c r="H11" s="169">
        <f>G11/12</f>
        <v>0.55000000000000004</v>
      </c>
    </row>
    <row r="12" spans="1:8" x14ac:dyDescent="0.25">
      <c r="A12" s="52">
        <v>9</v>
      </c>
      <c r="B12" s="200" t="s">
        <v>208</v>
      </c>
      <c r="C12" s="177" t="s">
        <v>178</v>
      </c>
      <c r="D12" s="177">
        <v>1</v>
      </c>
      <c r="E12" s="177" t="s">
        <v>193</v>
      </c>
      <c r="F12" s="168">
        <v>13.97</v>
      </c>
      <c r="G12" s="168">
        <f>F12*D12</f>
        <v>13.97</v>
      </c>
      <c r="H12" s="169">
        <f>G12/12</f>
        <v>1.1599999999999999</v>
      </c>
    </row>
    <row r="13" spans="1:8" x14ac:dyDescent="0.25">
      <c r="A13" s="52">
        <v>10</v>
      </c>
      <c r="B13" s="197" t="s">
        <v>192</v>
      </c>
      <c r="C13" s="177" t="s">
        <v>182</v>
      </c>
      <c r="D13" s="177">
        <v>1</v>
      </c>
      <c r="E13" s="177" t="s">
        <v>193</v>
      </c>
      <c r="F13" s="168">
        <v>1.95</v>
      </c>
      <c r="G13" s="168">
        <f>F13*D13</f>
        <v>1.95</v>
      </c>
      <c r="H13" s="169">
        <f>G13/12</f>
        <v>0.16</v>
      </c>
    </row>
    <row r="14" spans="1:8" ht="15.75" thickBot="1" x14ac:dyDescent="0.3">
      <c r="A14" s="368"/>
      <c r="B14" s="369"/>
      <c r="C14" s="369"/>
      <c r="D14" s="369"/>
      <c r="E14" s="369"/>
      <c r="F14" s="370"/>
      <c r="G14" s="170">
        <f>SUM(G4:G13)</f>
        <v>176.68</v>
      </c>
      <c r="H14" s="171">
        <f>SUM(H4:H13)</f>
        <v>14.72</v>
      </c>
    </row>
    <row r="15" spans="1:8" ht="15.75" thickBot="1" x14ac:dyDescent="0.3">
      <c r="A15" s="362" t="s">
        <v>186</v>
      </c>
      <c r="B15" s="363"/>
      <c r="C15" s="363"/>
      <c r="D15" s="363"/>
      <c r="E15" s="363"/>
      <c r="F15" s="363"/>
      <c r="G15" s="364"/>
      <c r="H15" s="172">
        <f>H14</f>
        <v>14.72</v>
      </c>
    </row>
    <row r="16" spans="1:8" ht="15.75" thickBot="1" x14ac:dyDescent="0.3">
      <c r="A16" s="356" t="s">
        <v>294</v>
      </c>
      <c r="B16" s="357"/>
      <c r="C16" s="357"/>
      <c r="D16" s="357"/>
      <c r="E16" s="357"/>
      <c r="F16" s="357"/>
      <c r="G16" s="357"/>
      <c r="H16" s="358"/>
    </row>
    <row r="17" spans="1:8" ht="15" customHeight="1" x14ac:dyDescent="0.25">
      <c r="A17" s="350" t="s">
        <v>367</v>
      </c>
      <c r="B17" s="351"/>
      <c r="C17" s="351"/>
      <c r="D17" s="351"/>
      <c r="E17" s="351"/>
      <c r="F17" s="351"/>
      <c r="G17" s="351"/>
      <c r="H17" s="352"/>
    </row>
    <row r="18" spans="1:8" x14ac:dyDescent="0.25">
      <c r="A18" s="350"/>
      <c r="B18" s="351"/>
      <c r="C18" s="351"/>
      <c r="D18" s="351"/>
      <c r="E18" s="351"/>
      <c r="F18" s="351"/>
      <c r="G18" s="351"/>
      <c r="H18" s="352"/>
    </row>
    <row r="19" spans="1:8" x14ac:dyDescent="0.25">
      <c r="A19" s="350"/>
      <c r="B19" s="351"/>
      <c r="C19" s="351"/>
      <c r="D19" s="351"/>
      <c r="E19" s="351"/>
      <c r="F19" s="351"/>
      <c r="G19" s="351"/>
      <c r="H19" s="352"/>
    </row>
    <row r="20" spans="1:8" x14ac:dyDescent="0.25">
      <c r="A20" s="350"/>
      <c r="B20" s="351"/>
      <c r="C20" s="351"/>
      <c r="D20" s="351"/>
      <c r="E20" s="351"/>
      <c r="F20" s="351"/>
      <c r="G20" s="351"/>
      <c r="H20" s="352"/>
    </row>
    <row r="21" spans="1:8" x14ac:dyDescent="0.25">
      <c r="A21" s="350"/>
      <c r="B21" s="351"/>
      <c r="C21" s="351"/>
      <c r="D21" s="351"/>
      <c r="E21" s="351"/>
      <c r="F21" s="351"/>
      <c r="G21" s="351"/>
      <c r="H21" s="352"/>
    </row>
    <row r="22" spans="1:8" x14ac:dyDescent="0.25">
      <c r="A22" s="350"/>
      <c r="B22" s="351"/>
      <c r="C22" s="351"/>
      <c r="D22" s="351"/>
      <c r="E22" s="351"/>
      <c r="F22" s="351"/>
      <c r="G22" s="351"/>
      <c r="H22" s="352"/>
    </row>
    <row r="23" spans="1:8" x14ac:dyDescent="0.25">
      <c r="A23" s="350"/>
      <c r="B23" s="351"/>
      <c r="C23" s="351"/>
      <c r="D23" s="351"/>
      <c r="E23" s="351"/>
      <c r="F23" s="351"/>
      <c r="G23" s="351"/>
      <c r="H23" s="352"/>
    </row>
    <row r="24" spans="1:8" x14ac:dyDescent="0.25">
      <c r="A24" s="350"/>
      <c r="B24" s="351"/>
      <c r="C24" s="351"/>
      <c r="D24" s="351"/>
      <c r="E24" s="351"/>
      <c r="F24" s="351"/>
      <c r="G24" s="351"/>
      <c r="H24" s="352"/>
    </row>
    <row r="25" spans="1:8" x14ac:dyDescent="0.25">
      <c r="A25" s="350"/>
      <c r="B25" s="351"/>
      <c r="C25" s="351"/>
      <c r="D25" s="351"/>
      <c r="E25" s="351"/>
      <c r="F25" s="351"/>
      <c r="G25" s="351"/>
      <c r="H25" s="352"/>
    </row>
    <row r="26" spans="1:8" x14ac:dyDescent="0.25">
      <c r="A26" s="350"/>
      <c r="B26" s="351"/>
      <c r="C26" s="351"/>
      <c r="D26" s="351"/>
      <c r="E26" s="351"/>
      <c r="F26" s="351"/>
      <c r="G26" s="351"/>
      <c r="H26" s="352"/>
    </row>
    <row r="27" spans="1:8" x14ac:dyDescent="0.25">
      <c r="A27" s="350"/>
      <c r="B27" s="351"/>
      <c r="C27" s="351"/>
      <c r="D27" s="351"/>
      <c r="E27" s="351"/>
      <c r="F27" s="351"/>
      <c r="G27" s="351"/>
      <c r="H27" s="352"/>
    </row>
    <row r="28" spans="1:8" x14ac:dyDescent="0.25">
      <c r="A28" s="350"/>
      <c r="B28" s="351"/>
      <c r="C28" s="351"/>
      <c r="D28" s="351"/>
      <c r="E28" s="351"/>
      <c r="F28" s="351"/>
      <c r="G28" s="351"/>
      <c r="H28" s="352"/>
    </row>
    <row r="29" spans="1:8" x14ac:dyDescent="0.25">
      <c r="A29" s="350"/>
      <c r="B29" s="351"/>
      <c r="C29" s="351"/>
      <c r="D29" s="351"/>
      <c r="E29" s="351"/>
      <c r="F29" s="351"/>
      <c r="G29" s="351"/>
      <c r="H29" s="352"/>
    </row>
    <row r="30" spans="1:8" ht="33" customHeight="1" thickBot="1" x14ac:dyDescent="0.3">
      <c r="A30" s="353"/>
      <c r="B30" s="354"/>
      <c r="C30" s="354"/>
      <c r="D30" s="354"/>
      <c r="E30" s="354"/>
      <c r="F30" s="354"/>
      <c r="G30" s="354"/>
      <c r="H30" s="355"/>
    </row>
  </sheetData>
  <mergeCells count="6">
    <mergeCell ref="A17:H30"/>
    <mergeCell ref="A16:H16"/>
    <mergeCell ref="A1:H1"/>
    <mergeCell ref="A15:G15"/>
    <mergeCell ref="A2:H2"/>
    <mergeCell ref="A14:F14"/>
  </mergeCells>
  <printOptions horizontalCentered="1"/>
  <pageMargins left="0.31496062992125984" right="0.31496062992125984" top="0.35433070866141736" bottom="1.1811023622047245" header="3.937007874015748E-2" footer="0.31496062992125984"/>
  <pageSetup paperSize="9" scale="67" orientation="portrait" r:id="rId1"/>
  <headerFooter differentFirst="1">
    <firstFooter>&amp;R&amp;G</first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7"/>
  <sheetViews>
    <sheetView view="pageBreakPreview" topLeftCell="A31" zoomScaleNormal="100" zoomScaleSheetLayoutView="100" workbookViewId="0">
      <selection activeCell="N30" sqref="N30"/>
    </sheetView>
  </sheetViews>
  <sheetFormatPr defaultRowHeight="15" x14ac:dyDescent="0.25"/>
  <cols>
    <col min="1" max="1" width="8.7109375" customWidth="1"/>
    <col min="2" max="2" width="60.7109375" customWidth="1"/>
    <col min="3" max="8" width="15.7109375" customWidth="1"/>
  </cols>
  <sheetData>
    <row r="1" spans="1:8" ht="15" customHeight="1" thickBot="1" x14ac:dyDescent="0.3">
      <c r="A1" s="383" t="s">
        <v>189</v>
      </c>
      <c r="B1" s="384"/>
      <c r="C1" s="384"/>
      <c r="D1" s="384"/>
      <c r="E1" s="384"/>
      <c r="F1" s="384"/>
      <c r="G1" s="384"/>
      <c r="H1" s="385"/>
    </row>
    <row r="2" spans="1:8" ht="15" customHeight="1" x14ac:dyDescent="0.25">
      <c r="A2" s="386"/>
      <c r="B2" s="387"/>
      <c r="C2" s="387"/>
      <c r="D2" s="387"/>
      <c r="E2" s="387"/>
      <c r="F2" s="387"/>
      <c r="G2" s="387"/>
      <c r="H2" s="388"/>
    </row>
    <row r="3" spans="1:8" ht="30" customHeight="1" x14ac:dyDescent="0.25">
      <c r="A3" s="136" t="s">
        <v>343</v>
      </c>
      <c r="B3" s="137" t="s">
        <v>177</v>
      </c>
      <c r="C3" s="137" t="s">
        <v>178</v>
      </c>
      <c r="D3" s="138" t="s">
        <v>347</v>
      </c>
      <c r="E3" s="138" t="s">
        <v>348</v>
      </c>
      <c r="F3" s="138" t="s">
        <v>181</v>
      </c>
      <c r="G3" s="138" t="s">
        <v>345</v>
      </c>
      <c r="H3" s="139" t="s">
        <v>346</v>
      </c>
    </row>
    <row r="4" spans="1:8" ht="15" customHeight="1" x14ac:dyDescent="0.25">
      <c r="A4" s="163">
        <v>1</v>
      </c>
      <c r="B4" s="198" t="s">
        <v>252</v>
      </c>
      <c r="C4" s="123" t="s">
        <v>253</v>
      </c>
      <c r="D4" s="124">
        <v>2</v>
      </c>
      <c r="E4" s="124">
        <f>D4*12</f>
        <v>24</v>
      </c>
      <c r="F4" s="125">
        <f>0.08*1000</f>
        <v>80</v>
      </c>
      <c r="G4" s="125">
        <f>F4*E4</f>
        <v>1920</v>
      </c>
      <c r="H4" s="164">
        <f>F4*D4</f>
        <v>160</v>
      </c>
    </row>
    <row r="5" spans="1:8" ht="15" customHeight="1" x14ac:dyDescent="0.25">
      <c r="A5" s="140">
        <v>2</v>
      </c>
      <c r="B5" s="197" t="s">
        <v>254</v>
      </c>
      <c r="C5" s="129" t="s">
        <v>255</v>
      </c>
      <c r="D5" s="126">
        <v>40</v>
      </c>
      <c r="E5" s="126">
        <f>D5*12</f>
        <v>480</v>
      </c>
      <c r="F5" s="219">
        <v>5.98</v>
      </c>
      <c r="G5" s="127">
        <f>F5*E5</f>
        <v>2870.4</v>
      </c>
      <c r="H5" s="166">
        <f>F5*D5</f>
        <v>239.2</v>
      </c>
    </row>
    <row r="6" spans="1:8" ht="15" customHeight="1" x14ac:dyDescent="0.25">
      <c r="A6" s="140">
        <f t="shared" ref="A6:A19" si="0">1+A5</f>
        <v>3</v>
      </c>
      <c r="B6" s="197" t="s">
        <v>351</v>
      </c>
      <c r="C6" s="129" t="s">
        <v>256</v>
      </c>
      <c r="D6" s="126">
        <v>50</v>
      </c>
      <c r="E6" s="126">
        <f t="shared" ref="E4:E41" si="1">D6*12</f>
        <v>600</v>
      </c>
      <c r="F6" s="219">
        <v>6.13</v>
      </c>
      <c r="G6" s="127">
        <f>F6*E6</f>
        <v>3678</v>
      </c>
      <c r="H6" s="166">
        <f>F6*D6</f>
        <v>306.5</v>
      </c>
    </row>
    <row r="7" spans="1:8" ht="15" customHeight="1" x14ac:dyDescent="0.25">
      <c r="A7" s="140">
        <f t="shared" si="0"/>
        <v>4</v>
      </c>
      <c r="B7" s="197" t="s">
        <v>257</v>
      </c>
      <c r="C7" s="129" t="s">
        <v>256</v>
      </c>
      <c r="D7" s="126">
        <v>50</v>
      </c>
      <c r="E7" s="126">
        <f t="shared" si="1"/>
        <v>600</v>
      </c>
      <c r="F7" s="219">
        <f>1.51*2</f>
        <v>3.02</v>
      </c>
      <c r="G7" s="127">
        <f>F7*E7</f>
        <v>1812</v>
      </c>
      <c r="H7" s="166">
        <f>F7*D7</f>
        <v>151</v>
      </c>
    </row>
    <row r="8" spans="1:8" ht="15" customHeight="1" x14ac:dyDescent="0.25">
      <c r="A8" s="140">
        <f t="shared" si="0"/>
        <v>5</v>
      </c>
      <c r="B8" s="197" t="s">
        <v>258</v>
      </c>
      <c r="C8" s="129" t="s">
        <v>259</v>
      </c>
      <c r="D8" s="126">
        <v>5</v>
      </c>
      <c r="E8" s="126">
        <f t="shared" si="1"/>
        <v>60</v>
      </c>
      <c r="F8" s="219">
        <v>1.88</v>
      </c>
      <c r="G8" s="127">
        <f>F8*E8</f>
        <v>112.8</v>
      </c>
      <c r="H8" s="166">
        <f>F8*D8</f>
        <v>9.4</v>
      </c>
    </row>
    <row r="9" spans="1:8" ht="15" customHeight="1" x14ac:dyDescent="0.25">
      <c r="A9" s="140">
        <f t="shared" si="0"/>
        <v>6</v>
      </c>
      <c r="B9" s="197" t="s">
        <v>260</v>
      </c>
      <c r="C9" s="129" t="s">
        <v>214</v>
      </c>
      <c r="D9" s="126">
        <v>30</v>
      </c>
      <c r="E9" s="126">
        <f t="shared" si="1"/>
        <v>360</v>
      </c>
      <c r="F9" s="219">
        <v>0.6</v>
      </c>
      <c r="G9" s="127">
        <f>F9*E9</f>
        <v>216</v>
      </c>
      <c r="H9" s="166">
        <f>F9*D9</f>
        <v>18</v>
      </c>
    </row>
    <row r="10" spans="1:8" ht="15" customHeight="1" x14ac:dyDescent="0.25">
      <c r="A10" s="140">
        <f t="shared" si="0"/>
        <v>7</v>
      </c>
      <c r="B10" s="197" t="s">
        <v>261</v>
      </c>
      <c r="C10" s="129" t="s">
        <v>214</v>
      </c>
      <c r="D10" s="126">
        <v>30</v>
      </c>
      <c r="E10" s="126">
        <f t="shared" si="1"/>
        <v>360</v>
      </c>
      <c r="F10" s="219">
        <v>1.7</v>
      </c>
      <c r="G10" s="127">
        <f>F10*E10</f>
        <v>612</v>
      </c>
      <c r="H10" s="166">
        <f>F10*D10</f>
        <v>51</v>
      </c>
    </row>
    <row r="11" spans="1:8" ht="15" customHeight="1" x14ac:dyDescent="0.25">
      <c r="A11" s="140">
        <f t="shared" si="0"/>
        <v>8</v>
      </c>
      <c r="B11" s="197" t="s">
        <v>262</v>
      </c>
      <c r="C11" s="129" t="s">
        <v>256</v>
      </c>
      <c r="D11" s="126">
        <v>10</v>
      </c>
      <c r="E11" s="126">
        <f t="shared" si="1"/>
        <v>120</v>
      </c>
      <c r="F11" s="219">
        <v>3.02</v>
      </c>
      <c r="G11" s="127">
        <f>F11*E11</f>
        <v>362.4</v>
      </c>
      <c r="H11" s="166">
        <f>F11*D11</f>
        <v>30.2</v>
      </c>
    </row>
    <row r="12" spans="1:8" ht="15" customHeight="1" x14ac:dyDescent="0.25">
      <c r="A12" s="140">
        <f t="shared" si="0"/>
        <v>9</v>
      </c>
      <c r="B12" s="197" t="s">
        <v>263</v>
      </c>
      <c r="C12" s="129" t="s">
        <v>256</v>
      </c>
      <c r="D12" s="126">
        <v>12</v>
      </c>
      <c r="E12" s="126">
        <f>D12*12</f>
        <v>144</v>
      </c>
      <c r="F12" s="219">
        <v>3.13</v>
      </c>
      <c r="G12" s="127">
        <f>F12*E12</f>
        <v>450.72</v>
      </c>
      <c r="H12" s="166">
        <f>F12*D12</f>
        <v>37.56</v>
      </c>
    </row>
    <row r="13" spans="1:8" ht="15" customHeight="1" x14ac:dyDescent="0.25">
      <c r="A13" s="140">
        <f t="shared" si="0"/>
        <v>10</v>
      </c>
      <c r="B13" s="197" t="s">
        <v>264</v>
      </c>
      <c r="C13" s="129" t="s">
        <v>214</v>
      </c>
      <c r="D13" s="126">
        <v>30</v>
      </c>
      <c r="E13" s="126">
        <f t="shared" si="1"/>
        <v>360</v>
      </c>
      <c r="F13" s="219">
        <v>3.4</v>
      </c>
      <c r="G13" s="127">
        <f>F13*E13</f>
        <v>1224</v>
      </c>
      <c r="H13" s="166">
        <f>F13*D13</f>
        <v>102</v>
      </c>
    </row>
    <row r="14" spans="1:8" ht="15" customHeight="1" x14ac:dyDescent="0.25">
      <c r="A14" s="140">
        <f t="shared" si="0"/>
        <v>11</v>
      </c>
      <c r="B14" s="197" t="s">
        <v>265</v>
      </c>
      <c r="C14" s="129" t="s">
        <v>214</v>
      </c>
      <c r="D14" s="126">
        <v>50</v>
      </c>
      <c r="E14" s="126">
        <f t="shared" si="1"/>
        <v>600</v>
      </c>
      <c r="F14" s="219">
        <f>32.63/8</f>
        <v>4.08</v>
      </c>
      <c r="G14" s="127">
        <f>F14*E14</f>
        <v>2448</v>
      </c>
      <c r="H14" s="166">
        <f>F14*D14</f>
        <v>204</v>
      </c>
    </row>
    <row r="15" spans="1:8" ht="15" customHeight="1" x14ac:dyDescent="0.25">
      <c r="A15" s="140">
        <f t="shared" si="0"/>
        <v>12</v>
      </c>
      <c r="B15" s="197" t="s">
        <v>266</v>
      </c>
      <c r="C15" s="129" t="s">
        <v>259</v>
      </c>
      <c r="D15" s="126">
        <v>125</v>
      </c>
      <c r="E15" s="126">
        <f t="shared" si="1"/>
        <v>1500</v>
      </c>
      <c r="F15" s="219">
        <v>3.55</v>
      </c>
      <c r="G15" s="127">
        <f>F15*E15</f>
        <v>5325</v>
      </c>
      <c r="H15" s="166">
        <f>F15*D15</f>
        <v>443.75</v>
      </c>
    </row>
    <row r="16" spans="1:8" ht="15" customHeight="1" x14ac:dyDescent="0.25">
      <c r="A16" s="140">
        <f t="shared" si="0"/>
        <v>13</v>
      </c>
      <c r="B16" s="197" t="s">
        <v>267</v>
      </c>
      <c r="C16" s="129" t="s">
        <v>256</v>
      </c>
      <c r="D16" s="126">
        <v>63</v>
      </c>
      <c r="E16" s="126">
        <f t="shared" si="1"/>
        <v>756</v>
      </c>
      <c r="F16" s="219">
        <v>6.11</v>
      </c>
      <c r="G16" s="127">
        <f>F16*E16</f>
        <v>4619.16</v>
      </c>
      <c r="H16" s="166">
        <f>F16*D16</f>
        <v>384.93</v>
      </c>
    </row>
    <row r="17" spans="1:8" ht="15" customHeight="1" x14ac:dyDescent="0.25">
      <c r="A17" s="140">
        <f t="shared" si="0"/>
        <v>14</v>
      </c>
      <c r="B17" s="197" t="s">
        <v>268</v>
      </c>
      <c r="C17" s="129" t="s">
        <v>216</v>
      </c>
      <c r="D17" s="126">
        <v>38</v>
      </c>
      <c r="E17" s="126">
        <f t="shared" si="1"/>
        <v>456</v>
      </c>
      <c r="F17" s="219">
        <v>6.11</v>
      </c>
      <c r="G17" s="127">
        <f>F17*E17</f>
        <v>2786.16</v>
      </c>
      <c r="H17" s="166">
        <f>F17*D17</f>
        <v>232.18</v>
      </c>
    </row>
    <row r="18" spans="1:8" ht="15" customHeight="1" x14ac:dyDescent="0.25">
      <c r="A18" s="140">
        <f t="shared" si="0"/>
        <v>15</v>
      </c>
      <c r="B18" s="197" t="s">
        <v>269</v>
      </c>
      <c r="C18" s="129" t="s">
        <v>256</v>
      </c>
      <c r="D18" s="126">
        <v>50</v>
      </c>
      <c r="E18" s="126">
        <f t="shared" si="1"/>
        <v>600</v>
      </c>
      <c r="F18" s="219">
        <f>2.65*2</f>
        <v>5.3</v>
      </c>
      <c r="G18" s="127">
        <f>F18*E18</f>
        <v>3180</v>
      </c>
      <c r="H18" s="166">
        <f>F18*D18</f>
        <v>265</v>
      </c>
    </row>
    <row r="19" spans="1:8" ht="15" customHeight="1" x14ac:dyDescent="0.25">
      <c r="A19" s="140">
        <f t="shared" si="0"/>
        <v>16</v>
      </c>
      <c r="B19" s="197" t="s">
        <v>270</v>
      </c>
      <c r="C19" s="129" t="s">
        <v>256</v>
      </c>
      <c r="D19" s="126">
        <v>20</v>
      </c>
      <c r="E19" s="126">
        <f>D19*12</f>
        <v>240</v>
      </c>
      <c r="F19" s="127">
        <f>12.6/5</f>
        <v>2.52</v>
      </c>
      <c r="G19" s="127">
        <f>F19*E19</f>
        <v>604.79999999999995</v>
      </c>
      <c r="H19" s="166">
        <f>F19*D19</f>
        <v>50.4</v>
      </c>
    </row>
    <row r="20" spans="1:8" ht="15" customHeight="1" x14ac:dyDescent="0.25">
      <c r="A20" s="140">
        <f>1+A19</f>
        <v>17</v>
      </c>
      <c r="B20" s="197" t="s">
        <v>317</v>
      </c>
      <c r="C20" s="129" t="s">
        <v>182</v>
      </c>
      <c r="D20" s="126">
        <v>40</v>
      </c>
      <c r="E20" s="126">
        <f t="shared" si="1"/>
        <v>480</v>
      </c>
      <c r="F20" s="219">
        <v>3</v>
      </c>
      <c r="G20" s="127">
        <f>F20*E20</f>
        <v>1440</v>
      </c>
      <c r="H20" s="166">
        <f>F20*D20</f>
        <v>120</v>
      </c>
    </row>
    <row r="21" spans="1:8" ht="15" customHeight="1" x14ac:dyDescent="0.25">
      <c r="A21" s="140">
        <f>1+A20</f>
        <v>18</v>
      </c>
      <c r="B21" s="197" t="s">
        <v>318</v>
      </c>
      <c r="C21" s="129" t="s">
        <v>321</v>
      </c>
      <c r="D21" s="126">
        <v>12</v>
      </c>
      <c r="E21" s="126">
        <f t="shared" si="1"/>
        <v>144</v>
      </c>
      <c r="F21" s="219">
        <f>0.18*50</f>
        <v>9</v>
      </c>
      <c r="G21" s="127">
        <f>F21*E21</f>
        <v>1296</v>
      </c>
      <c r="H21" s="166">
        <f>F21*D21</f>
        <v>108</v>
      </c>
    </row>
    <row r="22" spans="1:8" ht="15" customHeight="1" x14ac:dyDescent="0.25">
      <c r="A22" s="140">
        <f>1+A21</f>
        <v>19</v>
      </c>
      <c r="B22" s="197" t="s">
        <v>271</v>
      </c>
      <c r="C22" s="129" t="s">
        <v>214</v>
      </c>
      <c r="D22" s="126">
        <v>100</v>
      </c>
      <c r="E22" s="126">
        <f t="shared" si="1"/>
        <v>1200</v>
      </c>
      <c r="F22" s="219">
        <v>1.88</v>
      </c>
      <c r="G22" s="127">
        <f>F22*E22</f>
        <v>2256</v>
      </c>
      <c r="H22" s="166">
        <f>F22*D22</f>
        <v>188</v>
      </c>
    </row>
    <row r="23" spans="1:8" ht="15" customHeight="1" x14ac:dyDescent="0.25">
      <c r="A23" s="140">
        <f>1+A22</f>
        <v>20</v>
      </c>
      <c r="B23" s="197" t="s">
        <v>272</v>
      </c>
      <c r="C23" s="129" t="s">
        <v>214</v>
      </c>
      <c r="D23" s="126">
        <v>24</v>
      </c>
      <c r="E23" s="126">
        <f t="shared" si="1"/>
        <v>288</v>
      </c>
      <c r="F23" s="219">
        <v>23.27</v>
      </c>
      <c r="G23" s="127">
        <f>F23*E23</f>
        <v>6701.76</v>
      </c>
      <c r="H23" s="166">
        <f>F23*D23</f>
        <v>558.48</v>
      </c>
    </row>
    <row r="24" spans="1:8" ht="15" customHeight="1" x14ac:dyDescent="0.25">
      <c r="A24" s="140">
        <f>1+A23</f>
        <v>21</v>
      </c>
      <c r="B24" s="197" t="s">
        <v>319</v>
      </c>
      <c r="C24" s="129" t="s">
        <v>214</v>
      </c>
      <c r="D24" s="126">
        <v>20</v>
      </c>
      <c r="E24" s="126">
        <f t="shared" si="1"/>
        <v>240</v>
      </c>
      <c r="F24" s="219">
        <v>1.07</v>
      </c>
      <c r="G24" s="127">
        <f>F24*E24</f>
        <v>256.8</v>
      </c>
      <c r="H24" s="166">
        <f>F24*D24</f>
        <v>21.4</v>
      </c>
    </row>
    <row r="25" spans="1:8" ht="15" customHeight="1" x14ac:dyDescent="0.25">
      <c r="A25" s="140">
        <f t="shared" ref="A25" si="2">A24+1</f>
        <v>22</v>
      </c>
      <c r="B25" s="197" t="s">
        <v>273</v>
      </c>
      <c r="C25" s="129" t="s">
        <v>214</v>
      </c>
      <c r="D25" s="126">
        <v>3</v>
      </c>
      <c r="E25" s="126">
        <f t="shared" si="1"/>
        <v>36</v>
      </c>
      <c r="F25" s="127">
        <v>49.6</v>
      </c>
      <c r="G25" s="127">
        <f>F25*E25</f>
        <v>1785.6</v>
      </c>
      <c r="H25" s="166">
        <f>F25*D25</f>
        <v>148.80000000000001</v>
      </c>
    </row>
    <row r="26" spans="1:8" ht="15" customHeight="1" x14ac:dyDescent="0.25">
      <c r="A26" s="140">
        <f t="shared" ref="A26:A31" si="3">A25+1</f>
        <v>23</v>
      </c>
      <c r="B26" s="197" t="s">
        <v>274</v>
      </c>
      <c r="C26" s="129" t="s">
        <v>214</v>
      </c>
      <c r="D26" s="126">
        <v>3</v>
      </c>
      <c r="E26" s="126">
        <f t="shared" si="1"/>
        <v>36</v>
      </c>
      <c r="F26" s="219">
        <v>17.28</v>
      </c>
      <c r="G26" s="127">
        <f>F26*E26</f>
        <v>622.08000000000004</v>
      </c>
      <c r="H26" s="166">
        <f>F26*D26</f>
        <v>51.84</v>
      </c>
    </row>
    <row r="27" spans="1:8" ht="15" customHeight="1" x14ac:dyDescent="0.25">
      <c r="A27" s="140">
        <f t="shared" si="3"/>
        <v>24</v>
      </c>
      <c r="B27" s="197" t="s">
        <v>275</v>
      </c>
      <c r="C27" s="129" t="s">
        <v>214</v>
      </c>
      <c r="D27" s="126">
        <v>24</v>
      </c>
      <c r="E27" s="126">
        <f t="shared" si="1"/>
        <v>288</v>
      </c>
      <c r="F27" s="219">
        <f>8.7/5</f>
        <v>1.74</v>
      </c>
      <c r="G27" s="127">
        <f>F27*E27</f>
        <v>501.12</v>
      </c>
      <c r="H27" s="166">
        <f>F27*D27</f>
        <v>41.76</v>
      </c>
    </row>
    <row r="28" spans="1:8" ht="15" customHeight="1" x14ac:dyDescent="0.25">
      <c r="A28" s="133">
        <f t="shared" si="3"/>
        <v>25</v>
      </c>
      <c r="B28" s="197" t="s">
        <v>276</v>
      </c>
      <c r="C28" s="129" t="s">
        <v>320</v>
      </c>
      <c r="D28" s="126">
        <v>3</v>
      </c>
      <c r="E28" s="126">
        <f t="shared" si="1"/>
        <v>36</v>
      </c>
      <c r="F28" s="128">
        <v>13.3</v>
      </c>
      <c r="G28" s="127">
        <f>F28*E28</f>
        <v>478.8</v>
      </c>
      <c r="H28" s="166">
        <f>F28*D28</f>
        <v>39.9</v>
      </c>
    </row>
    <row r="29" spans="1:8" ht="15" customHeight="1" x14ac:dyDescent="0.25">
      <c r="A29" s="133">
        <f t="shared" si="3"/>
        <v>26</v>
      </c>
      <c r="B29" s="199" t="s">
        <v>277</v>
      </c>
      <c r="C29" s="130" t="s">
        <v>259</v>
      </c>
      <c r="D29" s="131">
        <v>6</v>
      </c>
      <c r="E29" s="131">
        <f t="shared" si="1"/>
        <v>72</v>
      </c>
      <c r="F29" s="132">
        <v>15.25</v>
      </c>
      <c r="G29" s="132">
        <f>F29*E29</f>
        <v>1098</v>
      </c>
      <c r="H29" s="167">
        <f>F29*D29</f>
        <v>91.5</v>
      </c>
    </row>
    <row r="30" spans="1:8" ht="15" customHeight="1" x14ac:dyDescent="0.25">
      <c r="A30" s="140">
        <f t="shared" si="3"/>
        <v>27</v>
      </c>
      <c r="B30" s="197" t="s">
        <v>278</v>
      </c>
      <c r="C30" s="129" t="s">
        <v>214</v>
      </c>
      <c r="D30" s="126">
        <v>2</v>
      </c>
      <c r="E30" s="126">
        <f t="shared" si="1"/>
        <v>24</v>
      </c>
      <c r="F30" s="127">
        <v>27.18</v>
      </c>
      <c r="G30" s="127">
        <f>F30*E30</f>
        <v>652.32000000000005</v>
      </c>
      <c r="H30" s="166">
        <f>F30*D30</f>
        <v>54.36</v>
      </c>
    </row>
    <row r="31" spans="1:8" ht="15" customHeight="1" x14ac:dyDescent="0.25">
      <c r="A31" s="140">
        <f t="shared" si="3"/>
        <v>28</v>
      </c>
      <c r="B31" s="197" t="s">
        <v>279</v>
      </c>
      <c r="C31" s="129" t="s">
        <v>214</v>
      </c>
      <c r="D31" s="126">
        <v>3</v>
      </c>
      <c r="E31" s="126">
        <f t="shared" si="1"/>
        <v>36</v>
      </c>
      <c r="F31" s="219">
        <v>69.56</v>
      </c>
      <c r="G31" s="127">
        <f>F31*E31</f>
        <v>2504.16</v>
      </c>
      <c r="H31" s="166">
        <f>F31*D31</f>
        <v>208.68</v>
      </c>
    </row>
    <row r="32" spans="1:8" ht="15" customHeight="1" x14ac:dyDescent="0.25">
      <c r="A32" s="140">
        <f t="shared" ref="A32" si="4">A31+1</f>
        <v>29</v>
      </c>
      <c r="B32" s="197" t="s">
        <v>280</v>
      </c>
      <c r="C32" s="129" t="s">
        <v>214</v>
      </c>
      <c r="D32" s="126">
        <v>3</v>
      </c>
      <c r="E32" s="126">
        <f t="shared" si="1"/>
        <v>36</v>
      </c>
      <c r="F32" s="219">
        <v>69.56</v>
      </c>
      <c r="G32" s="127">
        <f>F32*E32</f>
        <v>2504.16</v>
      </c>
      <c r="H32" s="166">
        <f>F32*D32</f>
        <v>208.68</v>
      </c>
    </row>
    <row r="33" spans="1:8" ht="15" customHeight="1" x14ac:dyDescent="0.25">
      <c r="A33" s="133">
        <f>A32+1</f>
        <v>30</v>
      </c>
      <c r="B33" s="199" t="s">
        <v>281</v>
      </c>
      <c r="C33" s="130" t="s">
        <v>214</v>
      </c>
      <c r="D33" s="131">
        <v>3</v>
      </c>
      <c r="E33" s="131">
        <f t="shared" si="1"/>
        <v>36</v>
      </c>
      <c r="F33" s="219">
        <v>5.15</v>
      </c>
      <c r="G33" s="132">
        <f>F33*E33</f>
        <v>185.4</v>
      </c>
      <c r="H33" s="167">
        <f>F33*D33</f>
        <v>15.45</v>
      </c>
    </row>
    <row r="34" spans="1:8" ht="15" customHeight="1" x14ac:dyDescent="0.25">
      <c r="A34" s="133">
        <v>31</v>
      </c>
      <c r="B34" s="199" t="s">
        <v>332</v>
      </c>
      <c r="C34" s="130" t="s">
        <v>214</v>
      </c>
      <c r="D34" s="131">
        <v>12</v>
      </c>
      <c r="E34" s="131">
        <f t="shared" si="1"/>
        <v>144</v>
      </c>
      <c r="F34" s="132">
        <v>4.95</v>
      </c>
      <c r="G34" s="132">
        <f>F34*E34</f>
        <v>712.8</v>
      </c>
      <c r="H34" s="167">
        <f t="shared" ref="H4:H41" si="5">F34*D34</f>
        <v>59.4</v>
      </c>
    </row>
    <row r="35" spans="1:8" ht="15" customHeight="1" x14ac:dyDescent="0.25">
      <c r="A35" s="140">
        <v>32</v>
      </c>
      <c r="B35" s="197" t="s">
        <v>282</v>
      </c>
      <c r="C35" s="129" t="s">
        <v>214</v>
      </c>
      <c r="D35" s="203">
        <v>1750</v>
      </c>
      <c r="E35" s="126">
        <f t="shared" si="1"/>
        <v>21000</v>
      </c>
      <c r="F35" s="219">
        <f>10.03/100</f>
        <v>0.1</v>
      </c>
      <c r="G35" s="127">
        <f>F35*E35</f>
        <v>2100</v>
      </c>
      <c r="H35" s="166">
        <f>F35*D35</f>
        <v>175</v>
      </c>
    </row>
    <row r="36" spans="1:8" ht="15" customHeight="1" x14ac:dyDescent="0.25">
      <c r="A36" s="140">
        <v>33</v>
      </c>
      <c r="B36" s="197" t="s">
        <v>283</v>
      </c>
      <c r="C36" s="129" t="s">
        <v>214</v>
      </c>
      <c r="D36" s="203">
        <v>1750</v>
      </c>
      <c r="E36" s="126">
        <f t="shared" si="1"/>
        <v>21000</v>
      </c>
      <c r="F36" s="219">
        <f>11.9/100</f>
        <v>0.12</v>
      </c>
      <c r="G36" s="127">
        <f>F36*E36</f>
        <v>2520</v>
      </c>
      <c r="H36" s="166">
        <f>F36*D36</f>
        <v>210</v>
      </c>
    </row>
    <row r="37" spans="1:8" ht="15" customHeight="1" x14ac:dyDescent="0.25">
      <c r="A37" s="140">
        <v>34</v>
      </c>
      <c r="B37" s="197" t="s">
        <v>284</v>
      </c>
      <c r="C37" s="129" t="s">
        <v>214</v>
      </c>
      <c r="D37" s="203">
        <v>1000</v>
      </c>
      <c r="E37" s="126">
        <f t="shared" si="1"/>
        <v>12000</v>
      </c>
      <c r="F37" s="226">
        <f>24/100</f>
        <v>0.24</v>
      </c>
      <c r="G37" s="127">
        <f>F37*E37</f>
        <v>2880</v>
      </c>
      <c r="H37" s="166">
        <f>F37*D37</f>
        <v>240</v>
      </c>
    </row>
    <row r="38" spans="1:8" ht="15" customHeight="1" x14ac:dyDescent="0.25">
      <c r="A38" s="140">
        <v>35</v>
      </c>
      <c r="B38" s="197" t="s">
        <v>285</v>
      </c>
      <c r="C38" s="129" t="s">
        <v>214</v>
      </c>
      <c r="D38" s="203">
        <v>1500</v>
      </c>
      <c r="E38" s="126">
        <f t="shared" si="1"/>
        <v>18000</v>
      </c>
      <c r="F38" s="219">
        <f>54/50</f>
        <v>1.08</v>
      </c>
      <c r="G38" s="127">
        <f>F38*E38</f>
        <v>19440</v>
      </c>
      <c r="H38" s="166">
        <f>F38*D38</f>
        <v>1620</v>
      </c>
    </row>
    <row r="39" spans="1:8" ht="15" customHeight="1" x14ac:dyDescent="0.25">
      <c r="A39" s="140">
        <v>36</v>
      </c>
      <c r="B39" s="197" t="s">
        <v>286</v>
      </c>
      <c r="C39" s="129" t="s">
        <v>287</v>
      </c>
      <c r="D39" s="126">
        <v>100</v>
      </c>
      <c r="E39" s="126">
        <f t="shared" si="1"/>
        <v>1200</v>
      </c>
      <c r="F39" s="219">
        <v>4.63</v>
      </c>
      <c r="G39" s="127">
        <f>F39*E39</f>
        <v>5556</v>
      </c>
      <c r="H39" s="166">
        <f>F39*D39</f>
        <v>463</v>
      </c>
    </row>
    <row r="40" spans="1:8" ht="15" customHeight="1" x14ac:dyDescent="0.25">
      <c r="A40" s="140">
        <v>37</v>
      </c>
      <c r="B40" s="197" t="s">
        <v>288</v>
      </c>
      <c r="C40" s="129" t="s">
        <v>287</v>
      </c>
      <c r="D40" s="126">
        <v>50</v>
      </c>
      <c r="E40" s="126">
        <f t="shared" si="1"/>
        <v>600</v>
      </c>
      <c r="F40" s="127">
        <v>5.81</v>
      </c>
      <c r="G40" s="127">
        <f>F40*E40</f>
        <v>3486</v>
      </c>
      <c r="H40" s="166">
        <f>F40*D40</f>
        <v>290.5</v>
      </c>
    </row>
    <row r="41" spans="1:8" ht="15" customHeight="1" x14ac:dyDescent="0.25">
      <c r="A41" s="202">
        <v>38</v>
      </c>
      <c r="B41" s="197" t="s">
        <v>289</v>
      </c>
      <c r="C41" s="129" t="s">
        <v>214</v>
      </c>
      <c r="D41" s="126">
        <v>30</v>
      </c>
      <c r="E41" s="126">
        <f t="shared" si="1"/>
        <v>360</v>
      </c>
      <c r="F41" s="219">
        <v>8</v>
      </c>
      <c r="G41" s="127">
        <f t="shared" ref="G4:G41" si="6">F41*E41</f>
        <v>2880</v>
      </c>
      <c r="H41" s="166">
        <f>F41*D41</f>
        <v>240</v>
      </c>
    </row>
    <row r="42" spans="1:8" ht="15" customHeight="1" x14ac:dyDescent="0.25">
      <c r="A42" s="394" t="s">
        <v>213</v>
      </c>
      <c r="B42" s="395"/>
      <c r="C42" s="395"/>
      <c r="D42" s="395"/>
      <c r="E42" s="395"/>
      <c r="F42" s="395"/>
      <c r="G42" s="395"/>
      <c r="H42" s="396"/>
    </row>
    <row r="43" spans="1:8" ht="30" customHeight="1" x14ac:dyDescent="0.25">
      <c r="A43" s="181" t="s">
        <v>343</v>
      </c>
      <c r="B43" s="182" t="s">
        <v>344</v>
      </c>
      <c r="C43" s="182" t="s">
        <v>178</v>
      </c>
      <c r="D43" s="182" t="s">
        <v>179</v>
      </c>
      <c r="E43" s="183" t="s">
        <v>210</v>
      </c>
      <c r="F43" s="184" t="s">
        <v>181</v>
      </c>
      <c r="G43" s="184" t="s">
        <v>345</v>
      </c>
      <c r="H43" s="185" t="s">
        <v>346</v>
      </c>
    </row>
    <row r="44" spans="1:8" ht="15" customHeight="1" x14ac:dyDescent="0.25">
      <c r="A44" s="140">
        <v>1</v>
      </c>
      <c r="B44" s="197" t="s">
        <v>188</v>
      </c>
      <c r="C44" s="129" t="s">
        <v>216</v>
      </c>
      <c r="D44" s="126">
        <v>4</v>
      </c>
      <c r="E44" s="177">
        <v>2</v>
      </c>
      <c r="F44" s="219">
        <v>15.34</v>
      </c>
      <c r="G44" s="127">
        <f>(F44*D44)*6</f>
        <v>368.16</v>
      </c>
      <c r="H44" s="87">
        <f>G44/12</f>
        <v>30.68</v>
      </c>
    </row>
    <row r="45" spans="1:8" ht="15" customHeight="1" x14ac:dyDescent="0.25">
      <c r="A45" s="140">
        <f>A44+1</f>
        <v>2</v>
      </c>
      <c r="B45" s="197" t="s">
        <v>215</v>
      </c>
      <c r="C45" s="129" t="s">
        <v>216</v>
      </c>
      <c r="D45" s="135">
        <v>4</v>
      </c>
      <c r="E45" s="134">
        <v>2</v>
      </c>
      <c r="F45" s="420">
        <v>7.5</v>
      </c>
      <c r="G45" s="127">
        <f>(F45*D45)*6</f>
        <v>180</v>
      </c>
      <c r="H45" s="87">
        <f>G45/12</f>
        <v>15</v>
      </c>
    </row>
    <row r="46" spans="1:8" ht="15" customHeight="1" x14ac:dyDescent="0.25">
      <c r="A46" s="140">
        <f>A45+1</f>
        <v>3</v>
      </c>
      <c r="B46" s="197" t="s">
        <v>217</v>
      </c>
      <c r="C46" s="129" t="s">
        <v>216</v>
      </c>
      <c r="D46" s="135">
        <v>4</v>
      </c>
      <c r="E46" s="134">
        <v>2</v>
      </c>
      <c r="F46" s="420">
        <v>13.7</v>
      </c>
      <c r="G46" s="127">
        <f>(F46*D46)*6</f>
        <v>328.8</v>
      </c>
      <c r="H46" s="87">
        <f>G46/12</f>
        <v>27.4</v>
      </c>
    </row>
    <row r="47" spans="1:8" ht="15" customHeight="1" x14ac:dyDescent="0.25">
      <c r="A47" s="140">
        <f>A46+1</f>
        <v>4</v>
      </c>
      <c r="B47" s="197" t="s">
        <v>218</v>
      </c>
      <c r="C47" s="129" t="s">
        <v>216</v>
      </c>
      <c r="D47" s="135">
        <v>4</v>
      </c>
      <c r="E47" s="134">
        <v>2</v>
      </c>
      <c r="F47" s="420">
        <v>9.9</v>
      </c>
      <c r="G47" s="127">
        <f>(F47*D47)*6</f>
        <v>237.6</v>
      </c>
      <c r="H47" s="87">
        <f>G47/12</f>
        <v>19.8</v>
      </c>
    </row>
    <row r="48" spans="1:8" ht="15" customHeight="1" x14ac:dyDescent="0.25">
      <c r="A48" s="140">
        <v>5</v>
      </c>
      <c r="B48" s="197" t="s">
        <v>219</v>
      </c>
      <c r="C48" s="129" t="s">
        <v>216</v>
      </c>
      <c r="D48" s="135">
        <v>4</v>
      </c>
      <c r="E48" s="134">
        <v>2</v>
      </c>
      <c r="F48" s="226">
        <v>4.28</v>
      </c>
      <c r="G48" s="127">
        <f>(F48*D48)*6</f>
        <v>102.72</v>
      </c>
      <c r="H48" s="87">
        <f>G48/12</f>
        <v>8.56</v>
      </c>
    </row>
    <row r="49" spans="1:8" ht="15" customHeight="1" x14ac:dyDescent="0.25">
      <c r="A49" s="397" t="s">
        <v>293</v>
      </c>
      <c r="B49" s="398"/>
      <c r="C49" s="398"/>
      <c r="D49" s="398"/>
      <c r="E49" s="398"/>
      <c r="F49" s="398"/>
      <c r="G49" s="398"/>
      <c r="H49" s="399"/>
    </row>
    <row r="50" spans="1:8" ht="30" customHeight="1" x14ac:dyDescent="0.25">
      <c r="A50" s="181" t="s">
        <v>343</v>
      </c>
      <c r="B50" s="182" t="s">
        <v>344</v>
      </c>
      <c r="C50" s="182" t="s">
        <v>178</v>
      </c>
      <c r="D50" s="182" t="s">
        <v>179</v>
      </c>
      <c r="E50" s="183" t="s">
        <v>210</v>
      </c>
      <c r="F50" s="184" t="s">
        <v>181</v>
      </c>
      <c r="G50" s="184" t="s">
        <v>345</v>
      </c>
      <c r="H50" s="185" t="s">
        <v>346</v>
      </c>
    </row>
    <row r="51" spans="1:8" ht="15" customHeight="1" x14ac:dyDescent="0.25">
      <c r="A51" s="140">
        <v>1</v>
      </c>
      <c r="B51" s="197" t="s">
        <v>220</v>
      </c>
      <c r="C51" s="129" t="s">
        <v>216</v>
      </c>
      <c r="D51" s="135">
        <v>6</v>
      </c>
      <c r="E51" s="134">
        <v>6</v>
      </c>
      <c r="F51" s="420">
        <v>8.6999999999999993</v>
      </c>
      <c r="G51" s="127">
        <f>(F51*D51)*2</f>
        <v>104.4</v>
      </c>
      <c r="H51" s="87">
        <f>G51/12</f>
        <v>8.6999999999999993</v>
      </c>
    </row>
    <row r="52" spans="1:8" ht="15" customHeight="1" x14ac:dyDescent="0.25">
      <c r="A52" s="140">
        <f>A51+1</f>
        <v>2</v>
      </c>
      <c r="B52" s="197" t="s">
        <v>221</v>
      </c>
      <c r="C52" s="129" t="s">
        <v>216</v>
      </c>
      <c r="D52" s="135">
        <v>3</v>
      </c>
      <c r="E52" s="134">
        <v>6</v>
      </c>
      <c r="F52" s="420">
        <v>19.78</v>
      </c>
      <c r="G52" s="127">
        <f>(F52*D52)*2</f>
        <v>118.68</v>
      </c>
      <c r="H52" s="87">
        <f>G52/12</f>
        <v>9.89</v>
      </c>
    </row>
    <row r="53" spans="1:8" ht="15" customHeight="1" x14ac:dyDescent="0.25">
      <c r="A53" s="140">
        <f>A52+1</f>
        <v>3</v>
      </c>
      <c r="B53" s="197" t="s">
        <v>222</v>
      </c>
      <c r="C53" s="129" t="s">
        <v>216</v>
      </c>
      <c r="D53" s="135">
        <v>6</v>
      </c>
      <c r="E53" s="134">
        <v>6</v>
      </c>
      <c r="F53" s="420">
        <v>5</v>
      </c>
      <c r="G53" s="127">
        <f>(F53*D53)*2</f>
        <v>60</v>
      </c>
      <c r="H53" s="87">
        <f>G53/12</f>
        <v>5</v>
      </c>
    </row>
    <row r="54" spans="1:8" ht="15" customHeight="1" x14ac:dyDescent="0.25">
      <c r="A54" s="140">
        <f>A53+1</f>
        <v>4</v>
      </c>
      <c r="B54" s="197" t="s">
        <v>223</v>
      </c>
      <c r="C54" s="129" t="s">
        <v>216</v>
      </c>
      <c r="D54" s="135">
        <v>2</v>
      </c>
      <c r="E54" s="134">
        <v>6</v>
      </c>
      <c r="F54" s="420">
        <v>37.33</v>
      </c>
      <c r="G54" s="127">
        <f>(F54*D54)*2</f>
        <v>149.32</v>
      </c>
      <c r="H54" s="87">
        <f>G54/12</f>
        <v>12.44</v>
      </c>
    </row>
    <row r="55" spans="1:8" ht="15" customHeight="1" thickBot="1" x14ac:dyDescent="0.3">
      <c r="A55" s="391"/>
      <c r="B55" s="392"/>
      <c r="C55" s="392"/>
      <c r="D55" s="392"/>
      <c r="E55" s="392"/>
      <c r="F55" s="393"/>
      <c r="G55" s="162">
        <f>SUM(G4:G54)</f>
        <v>95728.12</v>
      </c>
      <c r="H55" s="193">
        <f>SUM(H4:H54)</f>
        <v>7977.34</v>
      </c>
    </row>
    <row r="56" spans="1:8" ht="15" customHeight="1" thickBot="1" x14ac:dyDescent="0.3">
      <c r="A56" s="389" t="s">
        <v>186</v>
      </c>
      <c r="B56" s="390"/>
      <c r="C56" s="390"/>
      <c r="D56" s="390"/>
      <c r="E56" s="390"/>
      <c r="F56" s="390"/>
      <c r="G56" s="390"/>
      <c r="H56" s="194">
        <f>H55/3</f>
        <v>2659.11</v>
      </c>
    </row>
    <row r="57" spans="1:8" ht="15.75" thickBot="1" x14ac:dyDescent="0.3">
      <c r="A57" s="400" t="s">
        <v>356</v>
      </c>
      <c r="B57" s="401"/>
      <c r="C57" s="401"/>
      <c r="D57" s="401"/>
      <c r="E57" s="401"/>
      <c r="F57" s="401"/>
      <c r="G57" s="401"/>
      <c r="H57" s="402"/>
    </row>
    <row r="58" spans="1:8" ht="30" customHeight="1" x14ac:dyDescent="0.25">
      <c r="A58" s="403" t="s">
        <v>357</v>
      </c>
      <c r="B58" s="404"/>
      <c r="C58" s="404"/>
      <c r="D58" s="404"/>
      <c r="E58" s="404"/>
      <c r="F58" s="404"/>
      <c r="G58" s="404"/>
      <c r="H58" s="405"/>
    </row>
    <row r="59" spans="1:8" ht="30" customHeight="1" x14ac:dyDescent="0.25">
      <c r="A59" s="406" t="s">
        <v>358</v>
      </c>
      <c r="B59" s="407"/>
      <c r="C59" s="407"/>
      <c r="D59" s="407"/>
      <c r="E59" s="407"/>
      <c r="F59" s="407"/>
      <c r="G59" s="407"/>
      <c r="H59" s="408"/>
    </row>
    <row r="60" spans="1:8" ht="30" customHeight="1" x14ac:dyDescent="0.25">
      <c r="A60" s="380" t="s">
        <v>359</v>
      </c>
      <c r="B60" s="381"/>
      <c r="C60" s="381"/>
      <c r="D60" s="381"/>
      <c r="E60" s="381"/>
      <c r="F60" s="381"/>
      <c r="G60" s="381"/>
      <c r="H60" s="382"/>
    </row>
    <row r="61" spans="1:8" ht="30" customHeight="1" x14ac:dyDescent="0.25">
      <c r="A61" s="377" t="s">
        <v>365</v>
      </c>
      <c r="B61" s="378"/>
      <c r="C61" s="378"/>
      <c r="D61" s="378"/>
      <c r="E61" s="378"/>
      <c r="F61" s="378"/>
      <c r="G61" s="378"/>
      <c r="H61" s="379"/>
    </row>
    <row r="62" spans="1:8" ht="30" customHeight="1" x14ac:dyDescent="0.25">
      <c r="A62" s="380" t="s">
        <v>360</v>
      </c>
      <c r="B62" s="381"/>
      <c r="C62" s="381"/>
      <c r="D62" s="381"/>
      <c r="E62" s="381"/>
      <c r="F62" s="381"/>
      <c r="G62" s="381"/>
      <c r="H62" s="382"/>
    </row>
    <row r="63" spans="1:8" ht="30" customHeight="1" x14ac:dyDescent="0.25">
      <c r="A63" s="377" t="s">
        <v>366</v>
      </c>
      <c r="B63" s="378"/>
      <c r="C63" s="378"/>
      <c r="D63" s="378"/>
      <c r="E63" s="378"/>
      <c r="F63" s="378"/>
      <c r="G63" s="378"/>
      <c r="H63" s="379"/>
    </row>
    <row r="64" spans="1:8" ht="30" customHeight="1" x14ac:dyDescent="0.25">
      <c r="A64" s="380" t="s">
        <v>361</v>
      </c>
      <c r="B64" s="381"/>
      <c r="C64" s="381"/>
      <c r="D64" s="381"/>
      <c r="E64" s="381"/>
      <c r="F64" s="381"/>
      <c r="G64" s="381"/>
      <c r="H64" s="382"/>
    </row>
    <row r="65" spans="1:8" ht="30" customHeight="1" x14ac:dyDescent="0.25">
      <c r="A65" s="371" t="s">
        <v>362</v>
      </c>
      <c r="B65" s="372"/>
      <c r="C65" s="372"/>
      <c r="D65" s="372"/>
      <c r="E65" s="372"/>
      <c r="F65" s="372"/>
      <c r="G65" s="372"/>
      <c r="H65" s="373"/>
    </row>
    <row r="66" spans="1:8" ht="30" customHeight="1" x14ac:dyDescent="0.25">
      <c r="A66" s="371" t="s">
        <v>363</v>
      </c>
      <c r="B66" s="372"/>
      <c r="C66" s="372"/>
      <c r="D66" s="372"/>
      <c r="E66" s="372"/>
      <c r="F66" s="372"/>
      <c r="G66" s="372"/>
      <c r="H66" s="373"/>
    </row>
    <row r="67" spans="1:8" ht="30" customHeight="1" thickBot="1" x14ac:dyDescent="0.3">
      <c r="A67" s="374" t="s">
        <v>364</v>
      </c>
      <c r="B67" s="375"/>
      <c r="C67" s="375"/>
      <c r="D67" s="375"/>
      <c r="E67" s="375"/>
      <c r="F67" s="375"/>
      <c r="G67" s="375"/>
      <c r="H67" s="376"/>
    </row>
  </sheetData>
  <mergeCells count="17">
    <mergeCell ref="A57:H57"/>
    <mergeCell ref="A58:H58"/>
    <mergeCell ref="A59:H59"/>
    <mergeCell ref="A60:H60"/>
    <mergeCell ref="A1:H1"/>
    <mergeCell ref="A2:H2"/>
    <mergeCell ref="A56:G56"/>
    <mergeCell ref="A55:F55"/>
    <mergeCell ref="A42:H42"/>
    <mergeCell ref="A49:H49"/>
    <mergeCell ref="A66:H66"/>
    <mergeCell ref="A67:H67"/>
    <mergeCell ref="A61:H61"/>
    <mergeCell ref="A62:H62"/>
    <mergeCell ref="A63:H63"/>
    <mergeCell ref="A64:H64"/>
    <mergeCell ref="A65:H65"/>
  </mergeCells>
  <printOptions horizontalCentered="1"/>
  <pageMargins left="0.31496062992125984" right="0.31496062992125984" top="0.35433070866141736" bottom="1.1811023622047245" header="3.937007874015748E-2" footer="0.31496062992125984"/>
  <pageSetup paperSize="9" scale="59" orientation="portrait" r:id="rId1"/>
  <headerFooter differentFirst="1">
    <firstFooter>&amp;R&amp;G</first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4"/>
  <sheetViews>
    <sheetView view="pageBreakPreview" zoomScaleNormal="100" zoomScaleSheetLayoutView="100" workbookViewId="0">
      <selection activeCell="N30" sqref="N30"/>
    </sheetView>
  </sheetViews>
  <sheetFormatPr defaultRowHeight="15" x14ac:dyDescent="0.25"/>
  <cols>
    <col min="1" max="1" width="8.7109375" customWidth="1"/>
    <col min="2" max="2" width="60.7109375" customWidth="1"/>
    <col min="3" max="8" width="15.7109375" customWidth="1"/>
  </cols>
  <sheetData>
    <row r="1" spans="1:8" x14ac:dyDescent="0.25">
      <c r="A1" s="409" t="s">
        <v>325</v>
      </c>
      <c r="B1" s="410"/>
      <c r="C1" s="410"/>
      <c r="D1" s="410"/>
      <c r="E1" s="410"/>
      <c r="F1" s="410"/>
      <c r="G1" s="410"/>
      <c r="H1" s="411"/>
    </row>
    <row r="2" spans="1:8" ht="30" customHeight="1" x14ac:dyDescent="0.25">
      <c r="A2" s="220" t="s">
        <v>343</v>
      </c>
      <c r="B2" s="221" t="s">
        <v>177</v>
      </c>
      <c r="C2" s="221" t="s">
        <v>210</v>
      </c>
      <c r="D2" s="221" t="s">
        <v>178</v>
      </c>
      <c r="E2" s="221" t="s">
        <v>179</v>
      </c>
      <c r="F2" s="221" t="s">
        <v>181</v>
      </c>
      <c r="G2" s="221" t="s">
        <v>349</v>
      </c>
      <c r="H2" s="222" t="s">
        <v>207</v>
      </c>
    </row>
    <row r="3" spans="1:8" x14ac:dyDescent="0.25">
      <c r="A3" s="140">
        <v>1</v>
      </c>
      <c r="B3" s="197" t="s">
        <v>225</v>
      </c>
      <c r="C3" s="177">
        <v>60</v>
      </c>
      <c r="D3" s="129" t="s">
        <v>216</v>
      </c>
      <c r="E3" s="126">
        <v>1</v>
      </c>
      <c r="F3" s="219">
        <v>2617.94</v>
      </c>
      <c r="G3" s="127">
        <f>F3*E3</f>
        <v>2617.94</v>
      </c>
      <c r="H3" s="87">
        <f>G3/C3</f>
        <v>43.63</v>
      </c>
    </row>
    <row r="4" spans="1:8" x14ac:dyDescent="0.25">
      <c r="A4" s="140">
        <f>A3+1</f>
        <v>2</v>
      </c>
      <c r="B4" s="197" t="s">
        <v>226</v>
      </c>
      <c r="C4" s="177">
        <v>60</v>
      </c>
      <c r="D4" s="129" t="s">
        <v>216</v>
      </c>
      <c r="E4" s="126">
        <v>1</v>
      </c>
      <c r="F4" s="219">
        <v>2617.94</v>
      </c>
      <c r="G4" s="127">
        <f>F4*E4</f>
        <v>2617.94</v>
      </c>
      <c r="H4" s="87">
        <f>G4/C4</f>
        <v>43.63</v>
      </c>
    </row>
    <row r="5" spans="1:8" x14ac:dyDescent="0.25">
      <c r="A5" s="140">
        <f t="shared" ref="A5:A18" si="0">A4+1</f>
        <v>3</v>
      </c>
      <c r="B5" s="197" t="s">
        <v>227</v>
      </c>
      <c r="C5" s="177">
        <v>60</v>
      </c>
      <c r="D5" s="129" t="s">
        <v>216</v>
      </c>
      <c r="E5" s="126">
        <v>6</v>
      </c>
      <c r="F5" s="219">
        <v>512.92999999999995</v>
      </c>
      <c r="G5" s="127">
        <f>F5*E5</f>
        <v>3077.58</v>
      </c>
      <c r="H5" s="87">
        <f>G5/C5</f>
        <v>51.29</v>
      </c>
    </row>
    <row r="6" spans="1:8" x14ac:dyDescent="0.25">
      <c r="A6" s="140">
        <f t="shared" si="0"/>
        <v>4</v>
      </c>
      <c r="B6" s="197" t="s">
        <v>228</v>
      </c>
      <c r="C6" s="177">
        <v>60</v>
      </c>
      <c r="D6" s="129" t="s">
        <v>216</v>
      </c>
      <c r="E6" s="126">
        <v>1</v>
      </c>
      <c r="F6" s="219">
        <v>191.26</v>
      </c>
      <c r="G6" s="127">
        <f>F6*E6</f>
        <v>191.26</v>
      </c>
      <c r="H6" s="87">
        <f>G6/C6</f>
        <v>3.19</v>
      </c>
    </row>
    <row r="7" spans="1:8" x14ac:dyDescent="0.25">
      <c r="A7" s="140">
        <f t="shared" si="0"/>
        <v>5</v>
      </c>
      <c r="B7" s="197" t="s">
        <v>229</v>
      </c>
      <c r="C7" s="177">
        <v>60</v>
      </c>
      <c r="D7" s="129" t="s">
        <v>216</v>
      </c>
      <c r="E7" s="126">
        <v>2</v>
      </c>
      <c r="F7" s="219">
        <v>514.74</v>
      </c>
      <c r="G7" s="127">
        <f>F7*E7</f>
        <v>1029.48</v>
      </c>
      <c r="H7" s="87">
        <f>G7/C7</f>
        <v>17.16</v>
      </c>
    </row>
    <row r="8" spans="1:8" x14ac:dyDescent="0.25">
      <c r="A8" s="140">
        <f t="shared" si="0"/>
        <v>6</v>
      </c>
      <c r="B8" s="197" t="s">
        <v>230</v>
      </c>
      <c r="C8" s="177">
        <v>60</v>
      </c>
      <c r="D8" s="129" t="s">
        <v>216</v>
      </c>
      <c r="E8" s="126">
        <v>6</v>
      </c>
      <c r="F8" s="219">
        <v>31.76</v>
      </c>
      <c r="G8" s="127">
        <f>F8*E8</f>
        <v>190.56</v>
      </c>
      <c r="H8" s="87">
        <f>G8/C8</f>
        <v>3.18</v>
      </c>
    </row>
    <row r="9" spans="1:8" x14ac:dyDescent="0.25">
      <c r="A9" s="140">
        <f t="shared" si="0"/>
        <v>7</v>
      </c>
      <c r="B9" s="197" t="s">
        <v>231</v>
      </c>
      <c r="C9" s="177">
        <v>60</v>
      </c>
      <c r="D9" s="129" t="s">
        <v>216</v>
      </c>
      <c r="E9" s="126">
        <v>10</v>
      </c>
      <c r="F9" s="219">
        <v>9</v>
      </c>
      <c r="G9" s="127">
        <f>F9*E9</f>
        <v>90</v>
      </c>
      <c r="H9" s="87">
        <f>G9/C9</f>
        <v>1.5</v>
      </c>
    </row>
    <row r="10" spans="1:8" x14ac:dyDescent="0.25">
      <c r="A10" s="140">
        <f t="shared" si="0"/>
        <v>8</v>
      </c>
      <c r="B10" s="197" t="s">
        <v>232</v>
      </c>
      <c r="C10" s="177">
        <v>60</v>
      </c>
      <c r="D10" s="129" t="s">
        <v>216</v>
      </c>
      <c r="E10" s="126">
        <v>2</v>
      </c>
      <c r="F10" s="219">
        <v>38.5</v>
      </c>
      <c r="G10" s="127">
        <f>F10*E10</f>
        <v>77</v>
      </c>
      <c r="H10" s="87">
        <f>G10/C10</f>
        <v>1.28</v>
      </c>
    </row>
    <row r="11" spans="1:8" x14ac:dyDescent="0.25">
      <c r="A11" s="140">
        <f t="shared" si="0"/>
        <v>9</v>
      </c>
      <c r="B11" s="197" t="s">
        <v>233</v>
      </c>
      <c r="C11" s="177">
        <v>60</v>
      </c>
      <c r="D11" s="129" t="s">
        <v>216</v>
      </c>
      <c r="E11" s="126">
        <v>1</v>
      </c>
      <c r="F11" s="223">
        <v>66</v>
      </c>
      <c r="G11" s="127">
        <f>F11*E11</f>
        <v>66</v>
      </c>
      <c r="H11" s="87">
        <f>G11/C11</f>
        <v>1.1000000000000001</v>
      </c>
    </row>
    <row r="12" spans="1:8" x14ac:dyDescent="0.25">
      <c r="A12" s="140">
        <f t="shared" si="0"/>
        <v>10</v>
      </c>
      <c r="B12" s="197" t="s">
        <v>234</v>
      </c>
      <c r="C12" s="177">
        <v>60</v>
      </c>
      <c r="D12" s="129" t="s">
        <v>216</v>
      </c>
      <c r="E12" s="126">
        <v>1</v>
      </c>
      <c r="F12" s="223">
        <v>40.14</v>
      </c>
      <c r="G12" s="127">
        <f>F12*E12</f>
        <v>40.14</v>
      </c>
      <c r="H12" s="87">
        <f>G12/C12</f>
        <v>0.67</v>
      </c>
    </row>
    <row r="13" spans="1:8" x14ac:dyDescent="0.25">
      <c r="A13" s="140">
        <f t="shared" si="0"/>
        <v>11</v>
      </c>
      <c r="B13" s="197" t="s">
        <v>235</v>
      </c>
      <c r="C13" s="177">
        <v>60</v>
      </c>
      <c r="D13" s="129" t="s">
        <v>216</v>
      </c>
      <c r="E13" s="126">
        <v>1</v>
      </c>
      <c r="F13" s="219">
        <v>5</v>
      </c>
      <c r="G13" s="127">
        <f>F13*E13</f>
        <v>5</v>
      </c>
      <c r="H13" s="87">
        <f>G13/C13</f>
        <v>0.08</v>
      </c>
    </row>
    <row r="14" spans="1:8" x14ac:dyDescent="0.25">
      <c r="A14" s="140">
        <f t="shared" si="0"/>
        <v>12</v>
      </c>
      <c r="B14" s="197" t="s">
        <v>236</v>
      </c>
      <c r="C14" s="177">
        <v>60</v>
      </c>
      <c r="D14" s="129" t="s">
        <v>216</v>
      </c>
      <c r="E14" s="126">
        <v>1</v>
      </c>
      <c r="F14" s="219">
        <v>21.31</v>
      </c>
      <c r="G14" s="127">
        <f>F14*E14</f>
        <v>21.31</v>
      </c>
      <c r="H14" s="87">
        <f>G14/C14</f>
        <v>0.36</v>
      </c>
    </row>
    <row r="15" spans="1:8" x14ac:dyDescent="0.25">
      <c r="A15" s="140">
        <f t="shared" si="0"/>
        <v>13</v>
      </c>
      <c r="B15" s="197" t="s">
        <v>237</v>
      </c>
      <c r="C15" s="177">
        <v>60</v>
      </c>
      <c r="D15" s="129" t="s">
        <v>216</v>
      </c>
      <c r="E15" s="126">
        <v>12</v>
      </c>
      <c r="F15" s="219">
        <v>171.57</v>
      </c>
      <c r="G15" s="127">
        <f>F15*E15</f>
        <v>2058.84</v>
      </c>
      <c r="H15" s="87">
        <f>G15/C15</f>
        <v>34.31</v>
      </c>
    </row>
    <row r="16" spans="1:8" x14ac:dyDescent="0.25">
      <c r="A16" s="140">
        <f t="shared" si="0"/>
        <v>14</v>
      </c>
      <c r="B16" s="197" t="s">
        <v>238</v>
      </c>
      <c r="C16" s="177">
        <v>60</v>
      </c>
      <c r="D16" s="129" t="s">
        <v>216</v>
      </c>
      <c r="E16" s="126">
        <v>1</v>
      </c>
      <c r="F16" s="219">
        <v>642.5</v>
      </c>
      <c r="G16" s="127">
        <f>F16*E16</f>
        <v>642.5</v>
      </c>
      <c r="H16" s="87">
        <f>G16/C16</f>
        <v>10.71</v>
      </c>
    </row>
    <row r="17" spans="1:8" x14ac:dyDescent="0.25">
      <c r="A17" s="140">
        <f t="shared" si="0"/>
        <v>15</v>
      </c>
      <c r="B17" s="197" t="s">
        <v>239</v>
      </c>
      <c r="C17" s="177">
        <v>60</v>
      </c>
      <c r="D17" s="129" t="s">
        <v>216</v>
      </c>
      <c r="E17" s="126">
        <v>1</v>
      </c>
      <c r="F17" s="128">
        <v>23.98</v>
      </c>
      <c r="G17" s="127">
        <f>F17*E17</f>
        <v>23.98</v>
      </c>
      <c r="H17" s="87">
        <f>G17/C17</f>
        <v>0.4</v>
      </c>
    </row>
    <row r="18" spans="1:8" x14ac:dyDescent="0.25">
      <c r="A18" s="140">
        <f t="shared" si="0"/>
        <v>16</v>
      </c>
      <c r="B18" s="197" t="s">
        <v>240</v>
      </c>
      <c r="C18" s="211">
        <v>60</v>
      </c>
      <c r="D18" s="129" t="s">
        <v>216</v>
      </c>
      <c r="E18" s="165">
        <v>3</v>
      </c>
      <c r="F18" s="224">
        <v>13.97</v>
      </c>
      <c r="G18" s="127">
        <f>F18*E18</f>
        <v>41.91</v>
      </c>
      <c r="H18" s="87">
        <f>G18/C18</f>
        <v>0.7</v>
      </c>
    </row>
    <row r="19" spans="1:8" x14ac:dyDescent="0.25">
      <c r="A19" s="414" t="s">
        <v>292</v>
      </c>
      <c r="B19" s="415"/>
      <c r="C19" s="415"/>
      <c r="D19" s="415"/>
      <c r="E19" s="415"/>
      <c r="F19" s="415"/>
      <c r="G19" s="415"/>
      <c r="H19" s="416"/>
    </row>
    <row r="20" spans="1:8" ht="30" x14ac:dyDescent="0.25">
      <c r="A20" s="141" t="s">
        <v>343</v>
      </c>
      <c r="B20" s="138" t="s">
        <v>177</v>
      </c>
      <c r="C20" s="138" t="s">
        <v>210</v>
      </c>
      <c r="D20" s="138" t="s">
        <v>178</v>
      </c>
      <c r="E20" s="138" t="s">
        <v>179</v>
      </c>
      <c r="F20" s="138" t="s">
        <v>181</v>
      </c>
      <c r="G20" s="138" t="s">
        <v>349</v>
      </c>
      <c r="H20" s="139" t="s">
        <v>207</v>
      </c>
    </row>
    <row r="21" spans="1:8" ht="15" customHeight="1" x14ac:dyDescent="0.25">
      <c r="A21" s="140">
        <v>1</v>
      </c>
      <c r="B21" s="197" t="s">
        <v>241</v>
      </c>
      <c r="C21" s="177">
        <v>60</v>
      </c>
      <c r="D21" s="129" t="s">
        <v>216</v>
      </c>
      <c r="E21" s="126">
        <v>40</v>
      </c>
      <c r="F21" s="219">
        <v>23.99</v>
      </c>
      <c r="G21" s="127">
        <f>F21*E21</f>
        <v>959.6</v>
      </c>
      <c r="H21" s="87">
        <f>G21/C21</f>
        <v>15.99</v>
      </c>
    </row>
    <row r="22" spans="1:8" ht="15" customHeight="1" x14ac:dyDescent="0.25">
      <c r="A22" s="140">
        <f>A21+1</f>
        <v>2</v>
      </c>
      <c r="B22" s="197" t="s">
        <v>242</v>
      </c>
      <c r="C22" s="177">
        <v>60</v>
      </c>
      <c r="D22" s="129" t="s">
        <v>216</v>
      </c>
      <c r="E22" s="126">
        <v>50</v>
      </c>
      <c r="F22" s="219">
        <v>28.09</v>
      </c>
      <c r="G22" s="127">
        <f>F22*E22</f>
        <v>1404.5</v>
      </c>
      <c r="H22" s="87">
        <f>G22/C22</f>
        <v>23.41</v>
      </c>
    </row>
    <row r="23" spans="1:8" ht="15" customHeight="1" x14ac:dyDescent="0.25">
      <c r="A23" s="140">
        <f t="shared" ref="A23:A26" si="1">A22+1</f>
        <v>3</v>
      </c>
      <c r="B23" s="197" t="s">
        <v>243</v>
      </c>
      <c r="C23" s="177">
        <v>60</v>
      </c>
      <c r="D23" s="129" t="s">
        <v>216</v>
      </c>
      <c r="E23" s="126">
        <v>50</v>
      </c>
      <c r="F23" s="219">
        <v>26.87</v>
      </c>
      <c r="G23" s="127">
        <f>F23*E23</f>
        <v>1343.5</v>
      </c>
      <c r="H23" s="87">
        <f>G23/C23</f>
        <v>22.39</v>
      </c>
    </row>
    <row r="24" spans="1:8" ht="15" customHeight="1" x14ac:dyDescent="0.25">
      <c r="A24" s="140">
        <f t="shared" si="1"/>
        <v>4</v>
      </c>
      <c r="B24" s="197" t="s">
        <v>244</v>
      </c>
      <c r="C24" s="177">
        <v>60</v>
      </c>
      <c r="D24" s="129" t="s">
        <v>216</v>
      </c>
      <c r="E24" s="126">
        <v>20</v>
      </c>
      <c r="F24" s="219">
        <v>25.5</v>
      </c>
      <c r="G24" s="127">
        <f>F24*E24</f>
        <v>510</v>
      </c>
      <c r="H24" s="87">
        <f>G24/C24</f>
        <v>8.5</v>
      </c>
    </row>
    <row r="25" spans="1:8" ht="15" customHeight="1" x14ac:dyDescent="0.25">
      <c r="A25" s="140">
        <f t="shared" si="1"/>
        <v>5</v>
      </c>
      <c r="B25" s="197" t="s">
        <v>245</v>
      </c>
      <c r="C25" s="177">
        <v>60</v>
      </c>
      <c r="D25" s="129" t="s">
        <v>216</v>
      </c>
      <c r="E25" s="126">
        <v>67</v>
      </c>
      <c r="F25" s="219">
        <v>56</v>
      </c>
      <c r="G25" s="127">
        <f>F25*E25</f>
        <v>3752</v>
      </c>
      <c r="H25" s="87">
        <f>G25/C25</f>
        <v>62.53</v>
      </c>
    </row>
    <row r="26" spans="1:8" ht="15" customHeight="1" x14ac:dyDescent="0.25">
      <c r="A26" s="140">
        <f t="shared" si="1"/>
        <v>6</v>
      </c>
      <c r="B26" s="197" t="s">
        <v>246</v>
      </c>
      <c r="C26" s="177">
        <v>60</v>
      </c>
      <c r="D26" s="129" t="s">
        <v>216</v>
      </c>
      <c r="E26" s="126">
        <v>5</v>
      </c>
      <c r="F26" s="227">
        <v>66</v>
      </c>
      <c r="G26" s="127">
        <f>F26*E26</f>
        <v>330</v>
      </c>
      <c r="H26" s="87">
        <f>G26/C26</f>
        <v>5.5</v>
      </c>
    </row>
    <row r="27" spans="1:8" ht="15" customHeight="1" x14ac:dyDescent="0.25">
      <c r="A27" s="140">
        <f>A26+1</f>
        <v>7</v>
      </c>
      <c r="B27" s="197" t="s">
        <v>322</v>
      </c>
      <c r="C27" s="177">
        <v>60</v>
      </c>
      <c r="D27" s="129" t="s">
        <v>216</v>
      </c>
      <c r="E27" s="126">
        <v>7</v>
      </c>
      <c r="F27" s="128">
        <v>63.43</v>
      </c>
      <c r="G27" s="127">
        <f>F27*E27</f>
        <v>444.01</v>
      </c>
      <c r="H27" s="87">
        <f>G27/C27</f>
        <v>7.4</v>
      </c>
    </row>
    <row r="28" spans="1:8" ht="15" customHeight="1" x14ac:dyDescent="0.25">
      <c r="A28" s="140">
        <f>A27+1</f>
        <v>8</v>
      </c>
      <c r="B28" s="197" t="s">
        <v>247</v>
      </c>
      <c r="C28" s="177">
        <v>60</v>
      </c>
      <c r="D28" s="129" t="s">
        <v>216</v>
      </c>
      <c r="E28" s="126">
        <v>1</v>
      </c>
      <c r="F28" s="227">
        <v>74.069999999999993</v>
      </c>
      <c r="G28" s="127">
        <f>F28*E28</f>
        <v>74.069999999999993</v>
      </c>
      <c r="H28" s="87">
        <f>G28/C28</f>
        <v>1.23</v>
      </c>
    </row>
    <row r="29" spans="1:8" ht="15" customHeight="1" x14ac:dyDescent="0.25">
      <c r="A29" s="140">
        <f>A28+1</f>
        <v>9</v>
      </c>
      <c r="B29" s="197" t="s">
        <v>248</v>
      </c>
      <c r="C29" s="177">
        <v>60</v>
      </c>
      <c r="D29" s="129" t="s">
        <v>216</v>
      </c>
      <c r="E29" s="126">
        <v>1</v>
      </c>
      <c r="F29" s="227">
        <v>403.84</v>
      </c>
      <c r="G29" s="127">
        <f>F29*E29</f>
        <v>403.84</v>
      </c>
      <c r="H29" s="87">
        <f>G29/C29</f>
        <v>6.73</v>
      </c>
    </row>
    <row r="30" spans="1:8" ht="15" customHeight="1" x14ac:dyDescent="0.25">
      <c r="A30" s="140">
        <f>A29+1</f>
        <v>10</v>
      </c>
      <c r="B30" s="197" t="s">
        <v>249</v>
      </c>
      <c r="C30" s="177">
        <v>60</v>
      </c>
      <c r="D30" s="129" t="s">
        <v>216</v>
      </c>
      <c r="E30" s="126">
        <v>2</v>
      </c>
      <c r="F30" s="219">
        <v>989.52</v>
      </c>
      <c r="G30" s="127">
        <f>F30*E30</f>
        <v>1979.04</v>
      </c>
      <c r="H30" s="87">
        <f>G30/C30</f>
        <v>32.979999999999997</v>
      </c>
    </row>
    <row r="31" spans="1:8" ht="15" customHeight="1" x14ac:dyDescent="0.25">
      <c r="A31" s="140">
        <f>A30+1</f>
        <v>11</v>
      </c>
      <c r="B31" s="197" t="s">
        <v>250</v>
      </c>
      <c r="C31" s="177">
        <v>60</v>
      </c>
      <c r="D31" s="129" t="s">
        <v>216</v>
      </c>
      <c r="E31" s="126">
        <v>2</v>
      </c>
      <c r="F31" s="227">
        <v>594.5</v>
      </c>
      <c r="G31" s="127">
        <f>F31*E31</f>
        <v>1189</v>
      </c>
      <c r="H31" s="87">
        <f>G31/C31</f>
        <v>19.82</v>
      </c>
    </row>
    <row r="32" spans="1:8" ht="15" customHeight="1" x14ac:dyDescent="0.25">
      <c r="A32" s="140">
        <v>12</v>
      </c>
      <c r="B32" s="197" t="s">
        <v>251</v>
      </c>
      <c r="C32" s="177">
        <v>60</v>
      </c>
      <c r="D32" s="129" t="s">
        <v>216</v>
      </c>
      <c r="E32" s="126">
        <v>2</v>
      </c>
      <c r="F32" s="227">
        <v>594.5</v>
      </c>
      <c r="G32" s="127">
        <f>F32*E32</f>
        <v>1189</v>
      </c>
      <c r="H32" s="87">
        <f>G32/C32</f>
        <v>19.82</v>
      </c>
    </row>
    <row r="33" spans="1:8" ht="15.75" thickBot="1" x14ac:dyDescent="0.3">
      <c r="A33" s="417"/>
      <c r="B33" s="418"/>
      <c r="C33" s="418"/>
      <c r="D33" s="418"/>
      <c r="E33" s="418"/>
      <c r="F33" s="419"/>
      <c r="G33" s="225">
        <f>SUM(G3:G32)</f>
        <v>26370</v>
      </c>
      <c r="H33" s="103">
        <f>SUM(H3:H32)</f>
        <v>439.49</v>
      </c>
    </row>
    <row r="34" spans="1:8" ht="15.75" thickBot="1" x14ac:dyDescent="0.3">
      <c r="A34" s="412" t="s">
        <v>186</v>
      </c>
      <c r="B34" s="413"/>
      <c r="C34" s="413"/>
      <c r="D34" s="413"/>
      <c r="E34" s="413"/>
      <c r="F34" s="413"/>
      <c r="G34" s="413"/>
      <c r="H34" s="194">
        <f>H33/3</f>
        <v>146.5</v>
      </c>
    </row>
  </sheetData>
  <mergeCells count="4">
    <mergeCell ref="A1:H1"/>
    <mergeCell ref="A34:G34"/>
    <mergeCell ref="A19:H19"/>
    <mergeCell ref="A33:F33"/>
  </mergeCells>
  <printOptions horizontalCentered="1"/>
  <pageMargins left="0.31496062992125984" right="0.31496062992125984" top="0.35433070866141736" bottom="1.1811023622047245" header="3.937007874015748E-2" footer="0.31496062992125984"/>
  <pageSetup paperSize="9" scale="59" orientation="portrait" r:id="rId1"/>
  <headerFooter differentFirst="1">
    <firstFooter>&amp;R&amp;G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8</vt:i4>
      </vt:variant>
      <vt:variant>
        <vt:lpstr>Intervalos nomeados</vt:lpstr>
      </vt:variant>
      <vt:variant>
        <vt:i4>6</vt:i4>
      </vt:variant>
    </vt:vector>
  </HeadingPairs>
  <TitlesOfParts>
    <vt:vector size="14" baseType="lpstr">
      <vt:lpstr>Plan2</vt:lpstr>
      <vt:lpstr>Plan3</vt:lpstr>
      <vt:lpstr>PLANILHA </vt:lpstr>
      <vt:lpstr>M2</vt:lpstr>
      <vt:lpstr>Auxiliar de Limpeza</vt:lpstr>
      <vt:lpstr>Uniformes</vt:lpstr>
      <vt:lpstr>Insumos</vt:lpstr>
      <vt:lpstr>Equipamentos-Mater. Permanentes</vt:lpstr>
      <vt:lpstr>'Auxiliar de Limpeza'!Area_de_impressao</vt:lpstr>
      <vt:lpstr>'Equipamentos-Mater. Permanentes'!Area_de_impressao</vt:lpstr>
      <vt:lpstr>Insumos!Area_de_impressao</vt:lpstr>
      <vt:lpstr>'PLANILHA '!Area_de_impressao</vt:lpstr>
      <vt:lpstr>Uniformes!Area_de_impressao</vt:lpstr>
      <vt:lpstr>'Auxiliar de Limpeza'!Titulos_de_impressao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Alline Queiroz Da Silva</cp:lastModifiedBy>
  <cp:lastPrinted>2024-09-30T16:27:26Z</cp:lastPrinted>
  <dcterms:created xsi:type="dcterms:W3CDTF">2014-04-11T01:53:38Z</dcterms:created>
  <dcterms:modified xsi:type="dcterms:W3CDTF">2024-09-30T16:27:32Z</dcterms:modified>
</cp:coreProperties>
</file>