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S:\DITEC\GAP\PROJETOS\PROJETOS TANIA\PROCESSO - VIGILANCIA\"/>
    </mc:Choice>
  </mc:AlternateContent>
  <bookViews>
    <workbookView xWindow="0" yWindow="0" windowWidth="28800" windowHeight="12135" tabRatio="992" firstSheet="2" activeTab="2"/>
  </bookViews>
  <sheets>
    <sheet name="Plan2" sheetId="2" state="hidden" r:id="rId1"/>
    <sheet name="Plan3" sheetId="3" state="hidden" r:id="rId2"/>
    <sheet name="RESUMO" sheetId="63" r:id="rId3"/>
    <sheet name=" VIG. DIURNO-DESARM. 2ª à 6ª " sheetId="66" r:id="rId4"/>
    <sheet name=" VIG. DIURNO- ARM. 2ª à 6ª " sheetId="64" r:id="rId5"/>
    <sheet name=" VIG. DIURNO-ARM. 2ª a DOM. " sheetId="56" r:id="rId6"/>
    <sheet name="VIG. NOTURNO-ARM. 2ª a DOM." sheetId="61" r:id="rId7"/>
    <sheet name=" VIG. DIURNO HORISTA" sheetId="70" r:id="rId8"/>
    <sheet name=" VIG.NOTURNO HORISTA " sheetId="72" r:id="rId9"/>
    <sheet name="Horista Diurno " sheetId="58" state="hidden" r:id="rId10"/>
    <sheet name="Horista Noturno " sheetId="60" state="hidden" r:id="rId11"/>
    <sheet name="Mat. Unif.-LOTE I" sheetId="47" r:id="rId12"/>
    <sheet name="Mat. Unif.LOTE II a VII" sheetId="67" r:id="rId13"/>
    <sheet name=" VIG. DIURNO-ARM. 2ª a DOM.INT." sheetId="69" r:id="rId14"/>
    <sheet name="VIG. NOTURNO-ARM. 2ª a DOM.INT." sheetId="68" r:id="rId15"/>
  </sheets>
  <definedNames>
    <definedName name="_xlnm.Print_Area" localSheetId="4">' VIG. DIURNO- ARM. 2ª à 6ª '!$A$1:$E$112</definedName>
    <definedName name="_xlnm.Print_Area" localSheetId="7">' VIG. DIURNO HORISTA'!$A$1:$E$93</definedName>
    <definedName name="_xlnm.Print_Area" localSheetId="5">' VIG. DIURNO-ARM. 2ª a DOM. '!$A$1:$E$110</definedName>
    <definedName name="_xlnm.Print_Area" localSheetId="13">' VIG. DIURNO-ARM. 2ª a DOM.INT.'!$A$1:$E$109</definedName>
    <definedName name="_xlnm.Print_Area" localSheetId="3">' VIG. DIURNO-DESARM. 2ª à 6ª '!$A$1:$E$111</definedName>
    <definedName name="_xlnm.Print_Area" localSheetId="8">' VIG.NOTURNO HORISTA '!$A$1:$E$93</definedName>
    <definedName name="_xlnm.Print_Area" localSheetId="9">'Horista Diurno '!$A$1:$E$92</definedName>
    <definedName name="_xlnm.Print_Area" localSheetId="10">'Horista Noturno '!$A$1:$E$92</definedName>
    <definedName name="_xlnm.Print_Area" localSheetId="11">'Mat. Unif.-LOTE I'!$A$1:$J$53</definedName>
    <definedName name="_xlnm.Print_Area" localSheetId="12">'Mat. Unif.LOTE II a VII'!$A$1:$J$37</definedName>
    <definedName name="_xlnm.Print_Area" localSheetId="2">RESUMO!$A$2:$H$92</definedName>
    <definedName name="_xlnm.Print_Area" localSheetId="6">'VIG. NOTURNO-ARM. 2ª a DOM.'!$A$1:$E$110</definedName>
    <definedName name="_xlnm.Print_Area" localSheetId="14">'VIG. NOTURNO-ARM. 2ª a DOM.INT.'!$A$1:$E$109</definedName>
  </definedNames>
  <calcPr calcId="152511" iterate="1"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3" i="64" l="1"/>
  <c r="E80" i="64"/>
  <c r="J43" i="47"/>
  <c r="F43" i="47"/>
  <c r="J21" i="67" l="1"/>
  <c r="J18" i="67"/>
  <c r="J32" i="67"/>
  <c r="J29" i="67"/>
  <c r="J26" i="67"/>
  <c r="J33" i="67"/>
  <c r="J50" i="47"/>
  <c r="J51" i="47"/>
  <c r="J46" i="47"/>
  <c r="J33" i="47"/>
  <c r="J26" i="47"/>
  <c r="J21" i="47"/>
  <c r="J18" i="47"/>
  <c r="E104" i="66" l="1"/>
  <c r="E103" i="66"/>
  <c r="E102" i="66"/>
  <c r="J34" i="67"/>
  <c r="E17" i="72" l="1"/>
  <c r="E18" i="72"/>
  <c r="E70" i="72"/>
  <c r="E71" i="72" s="1"/>
  <c r="E75" i="72" s="1"/>
  <c r="D65" i="72"/>
  <c r="D64" i="72"/>
  <c r="D63" i="72"/>
  <c r="D66" i="72" s="1"/>
  <c r="D74" i="72" s="1"/>
  <c r="D76" i="72" s="1"/>
  <c r="D62" i="72"/>
  <c r="D60" i="72"/>
  <c r="D56" i="72"/>
  <c r="D53" i="72"/>
  <c r="E42" i="72"/>
  <c r="E41" i="72"/>
  <c r="E40" i="72"/>
  <c r="D37" i="72"/>
  <c r="D55" i="72" s="1"/>
  <c r="D24" i="72"/>
  <c r="D26" i="72" s="1"/>
  <c r="E16" i="72"/>
  <c r="E39" i="72" s="1"/>
  <c r="E44" i="72" s="1"/>
  <c r="E48" i="72" s="1"/>
  <c r="D57" i="72" l="1"/>
  <c r="E19" i="72"/>
  <c r="J34" i="47"/>
  <c r="E40" i="70"/>
  <c r="E17" i="70"/>
  <c r="E16" i="70"/>
  <c r="I12" i="70"/>
  <c r="D65" i="70"/>
  <c r="D64" i="70"/>
  <c r="D63" i="70"/>
  <c r="D66" i="70" s="1"/>
  <c r="D74" i="70" s="1"/>
  <c r="D76" i="70" s="1"/>
  <c r="D62" i="70"/>
  <c r="D60" i="70"/>
  <c r="D56" i="70"/>
  <c r="D53" i="70"/>
  <c r="E42" i="70"/>
  <c r="E41" i="70"/>
  <c r="I37" i="70"/>
  <c r="I38" i="70" s="1"/>
  <c r="D37" i="70"/>
  <c r="D55" i="70" s="1"/>
  <c r="D24" i="70"/>
  <c r="D26" i="70" s="1"/>
  <c r="E18" i="70"/>
  <c r="E20" i="72" l="1"/>
  <c r="E21" i="72" s="1"/>
  <c r="E19" i="70"/>
  <c r="I39" i="70"/>
  <c r="I40" i="70" s="1"/>
  <c r="D57" i="70"/>
  <c r="E39" i="70"/>
  <c r="E53" i="72" l="1"/>
  <c r="E52" i="72"/>
  <c r="E24" i="72"/>
  <c r="E86" i="72"/>
  <c r="E25" i="72"/>
  <c r="E54" i="72"/>
  <c r="E56" i="72"/>
  <c r="E55" i="72"/>
  <c r="E20" i="70"/>
  <c r="E21" i="70" s="1"/>
  <c r="E44" i="70"/>
  <c r="E48" i="70" s="1"/>
  <c r="E57" i="72" l="1"/>
  <c r="E88" i="72" s="1"/>
  <c r="E26" i="72"/>
  <c r="E52" i="70"/>
  <c r="E55" i="70"/>
  <c r="E25" i="70"/>
  <c r="E24" i="70"/>
  <c r="E54" i="70"/>
  <c r="E53" i="70"/>
  <c r="E57" i="70" s="1"/>
  <c r="E88" i="70" s="1"/>
  <c r="E56" i="70"/>
  <c r="E86" i="70"/>
  <c r="E46" i="72" l="1"/>
  <c r="E35" i="72"/>
  <c r="E36" i="72"/>
  <c r="E33" i="72"/>
  <c r="E31" i="72"/>
  <c r="E29" i="72"/>
  <c r="E30" i="72"/>
  <c r="E34" i="72"/>
  <c r="E32" i="72"/>
  <c r="E26" i="70"/>
  <c r="E46" i="70" s="1"/>
  <c r="E36" i="70"/>
  <c r="E33" i="70"/>
  <c r="E32" i="70"/>
  <c r="E34" i="70"/>
  <c r="E31" i="70"/>
  <c r="E30" i="70"/>
  <c r="E35" i="70"/>
  <c r="E29" i="70"/>
  <c r="E37" i="72" l="1"/>
  <c r="E47" i="72" s="1"/>
  <c r="E49" i="72" s="1"/>
  <c r="E37" i="70"/>
  <c r="E47" i="70" s="1"/>
  <c r="E49" i="70" s="1"/>
  <c r="E87" i="70"/>
  <c r="E87" i="72" l="1"/>
  <c r="E40" i="64" l="1"/>
  <c r="E40" i="66"/>
  <c r="E41" i="66"/>
  <c r="E39" i="61" l="1"/>
  <c r="E39" i="56"/>
  <c r="E39" i="66"/>
  <c r="H37" i="66"/>
  <c r="E42" i="66" l="1"/>
  <c r="E44" i="68"/>
  <c r="E44" i="69"/>
  <c r="E44" i="61"/>
  <c r="E44" i="56"/>
  <c r="E44" i="66"/>
  <c r="E43" i="66" l="1"/>
  <c r="E43" i="56"/>
  <c r="E43" i="68"/>
  <c r="E43" i="69"/>
  <c r="E43" i="61"/>
  <c r="J27" i="61"/>
  <c r="J21" i="61"/>
  <c r="J20" i="61"/>
  <c r="E18" i="68" l="1"/>
  <c r="E18" i="61"/>
  <c r="H75" i="61" l="1"/>
  <c r="F39" i="47" l="1"/>
  <c r="I39" i="47" s="1"/>
  <c r="J39" i="47" s="1"/>
  <c r="F29" i="47" l="1"/>
  <c r="J29" i="47" s="1"/>
  <c r="F29" i="67"/>
  <c r="I38" i="56"/>
  <c r="I37" i="56"/>
  <c r="D98" i="69" l="1"/>
  <c r="D90" i="69"/>
  <c r="D65" i="69"/>
  <c r="D64" i="69"/>
  <c r="D63" i="69"/>
  <c r="D62" i="69"/>
  <c r="D60" i="69"/>
  <c r="D66" i="69" s="1"/>
  <c r="D74" i="69" s="1"/>
  <c r="D76" i="69" s="1"/>
  <c r="D56" i="69"/>
  <c r="D53" i="69"/>
  <c r="E42" i="69"/>
  <c r="E41" i="69"/>
  <c r="E40" i="69"/>
  <c r="D37" i="69"/>
  <c r="D55" i="69" s="1"/>
  <c r="D24" i="69"/>
  <c r="D26" i="69" s="1"/>
  <c r="E18" i="69"/>
  <c r="E17" i="69"/>
  <c r="E16" i="69"/>
  <c r="E39" i="69" s="1"/>
  <c r="D98" i="68"/>
  <c r="D90" i="68"/>
  <c r="D65" i="68"/>
  <c r="D64" i="68"/>
  <c r="D63" i="68"/>
  <c r="D62" i="68"/>
  <c r="D60" i="68"/>
  <c r="D66" i="68" s="1"/>
  <c r="D74" i="68" s="1"/>
  <c r="D76" i="68" s="1"/>
  <c r="D56" i="68"/>
  <c r="D53" i="68"/>
  <c r="E42" i="68"/>
  <c r="E41" i="68"/>
  <c r="E40" i="68"/>
  <c r="D37" i="68"/>
  <c r="D55" i="68" s="1"/>
  <c r="D26" i="68"/>
  <c r="D24" i="68"/>
  <c r="E17" i="68"/>
  <c r="E16" i="68"/>
  <c r="F35" i="67"/>
  <c r="J35" i="67" s="1"/>
  <c r="F32" i="67"/>
  <c r="F31" i="67"/>
  <c r="J31" i="67" s="1"/>
  <c r="F30" i="67"/>
  <c r="J30" i="67" s="1"/>
  <c r="F28" i="67"/>
  <c r="J28" i="67" s="1"/>
  <c r="F27" i="67"/>
  <c r="J27" i="67" s="1"/>
  <c r="F52" i="47"/>
  <c r="J52" i="47" s="1"/>
  <c r="F49" i="47"/>
  <c r="J49" i="47" s="1"/>
  <c r="F48" i="47"/>
  <c r="J48" i="47" s="1"/>
  <c r="F47" i="47"/>
  <c r="J47" i="47" s="1"/>
  <c r="F40" i="47"/>
  <c r="J40" i="47" s="1"/>
  <c r="F35" i="47"/>
  <c r="J35" i="47" s="1"/>
  <c r="F32" i="47"/>
  <c r="J32" i="47" s="1"/>
  <c r="F31" i="47"/>
  <c r="J31" i="47" s="1"/>
  <c r="F30" i="47"/>
  <c r="J30" i="47" s="1"/>
  <c r="F28" i="47"/>
  <c r="J28" i="47" s="1"/>
  <c r="F27" i="47"/>
  <c r="J27" i="47" s="1"/>
  <c r="E48" i="69" l="1"/>
  <c r="E19" i="68"/>
  <c r="E39" i="68"/>
  <c r="E48" i="68" s="1"/>
  <c r="I37" i="67"/>
  <c r="I41" i="47"/>
  <c r="E82" i="64" s="1"/>
  <c r="D57" i="69"/>
  <c r="E19" i="69"/>
  <c r="D57" i="68"/>
  <c r="D20" i="68"/>
  <c r="E20" i="68"/>
  <c r="E21" i="68" s="1"/>
  <c r="I53" i="47"/>
  <c r="E81" i="66" s="1"/>
  <c r="I36" i="47"/>
  <c r="F20" i="67"/>
  <c r="J20" i="67" s="1"/>
  <c r="F19" i="67"/>
  <c r="J19" i="67" s="1"/>
  <c r="F12" i="67"/>
  <c r="I12" i="67" s="1"/>
  <c r="F11" i="67"/>
  <c r="I11" i="67" s="1"/>
  <c r="F10" i="67"/>
  <c r="I10" i="67" s="1"/>
  <c r="F9" i="67"/>
  <c r="I9" i="67" s="1"/>
  <c r="F8" i="67"/>
  <c r="I8" i="67" s="1"/>
  <c r="F7" i="67"/>
  <c r="I7" i="67" s="1"/>
  <c r="F6" i="67"/>
  <c r="I6" i="67" s="1"/>
  <c r="F5" i="67"/>
  <c r="I5" i="67" s="1"/>
  <c r="F4" i="67"/>
  <c r="I4" i="67" s="1"/>
  <c r="F3" i="67"/>
  <c r="I3" i="67" s="1"/>
  <c r="E81" i="69" l="1"/>
  <c r="E81" i="68"/>
  <c r="E20" i="69"/>
  <c r="E21" i="69" s="1"/>
  <c r="D20" i="69"/>
  <c r="E25" i="68"/>
  <c r="E53" i="68"/>
  <c r="E52" i="68"/>
  <c r="E24" i="68"/>
  <c r="E101" i="68"/>
  <c r="E54" i="68"/>
  <c r="E56" i="68"/>
  <c r="E55" i="68"/>
  <c r="I22" i="67"/>
  <c r="E80" i="68" s="1"/>
  <c r="I13" i="67"/>
  <c r="E26" i="68" l="1"/>
  <c r="E35" i="68" s="1"/>
  <c r="E79" i="69"/>
  <c r="E79" i="68"/>
  <c r="E54" i="69"/>
  <c r="E25" i="69"/>
  <c r="E52" i="69"/>
  <c r="E24" i="69"/>
  <c r="E101" i="69"/>
  <c r="E55" i="69"/>
  <c r="E56" i="69"/>
  <c r="E53" i="69"/>
  <c r="E57" i="68"/>
  <c r="E103" i="68" s="1"/>
  <c r="E33" i="68"/>
  <c r="E36" i="68"/>
  <c r="D99" i="66"/>
  <c r="D91" i="66"/>
  <c r="D65" i="66"/>
  <c r="D64" i="66"/>
  <c r="D63" i="66"/>
  <c r="D62" i="66"/>
  <c r="D60" i="66"/>
  <c r="D56" i="66"/>
  <c r="D53" i="66"/>
  <c r="D57" i="66" s="1"/>
  <c r="D37" i="66"/>
  <c r="D55" i="66" s="1"/>
  <c r="H33" i="66"/>
  <c r="H34" i="66" s="1"/>
  <c r="H35" i="66" s="1"/>
  <c r="D24" i="66"/>
  <c r="D26" i="66" s="1"/>
  <c r="H19" i="66"/>
  <c r="H20" i="66" s="1"/>
  <c r="E18" i="66"/>
  <c r="E17" i="66"/>
  <c r="E16" i="66"/>
  <c r="H19" i="64"/>
  <c r="H20" i="64" s="1"/>
  <c r="H33" i="64"/>
  <c r="H34" i="64" s="1"/>
  <c r="H35" i="64" s="1"/>
  <c r="D100" i="64"/>
  <c r="D92" i="64"/>
  <c r="D65" i="64"/>
  <c r="D64" i="64"/>
  <c r="D63" i="64"/>
  <c r="D62" i="64"/>
  <c r="D60" i="64"/>
  <c r="D56" i="64"/>
  <c r="D53" i="64"/>
  <c r="E42" i="64"/>
  <c r="E41" i="64"/>
  <c r="D37" i="64"/>
  <c r="D55" i="64" s="1"/>
  <c r="D24" i="64"/>
  <c r="D26" i="64" s="1"/>
  <c r="E18" i="64"/>
  <c r="E17" i="64"/>
  <c r="E16" i="64"/>
  <c r="E40" i="56"/>
  <c r="E40" i="61"/>
  <c r="E39" i="64" l="1"/>
  <c r="E32" i="68"/>
  <c r="E31" i="68"/>
  <c r="E30" i="68"/>
  <c r="E37" i="68" s="1"/>
  <c r="E47" i="68" s="1"/>
  <c r="E49" i="68" s="1"/>
  <c r="E102" i="68" s="1"/>
  <c r="E34" i="68"/>
  <c r="E46" i="68"/>
  <c r="E29" i="68"/>
  <c r="E19" i="64"/>
  <c r="E20" i="64" s="1"/>
  <c r="D66" i="66"/>
  <c r="D74" i="66" s="1"/>
  <c r="D76" i="66" s="1"/>
  <c r="E48" i="66"/>
  <c r="E26" i="69"/>
  <c r="E57" i="69"/>
  <c r="E103" i="69" s="1"/>
  <c r="D57" i="64"/>
  <c r="D66" i="64"/>
  <c r="D74" i="64" s="1"/>
  <c r="D76" i="64" s="1"/>
  <c r="E19" i="66"/>
  <c r="E21" i="64" l="1"/>
  <c r="E53" i="64" s="1"/>
  <c r="E43" i="64"/>
  <c r="D20" i="64"/>
  <c r="E44" i="64"/>
  <c r="E48" i="64" s="1"/>
  <c r="E46" i="69"/>
  <c r="E34" i="69"/>
  <c r="E36" i="69"/>
  <c r="E35" i="69"/>
  <c r="E30" i="69"/>
  <c r="E29" i="69"/>
  <c r="E33" i="69"/>
  <c r="E31" i="69"/>
  <c r="E32" i="69"/>
  <c r="E55" i="64"/>
  <c r="D20" i="66"/>
  <c r="E20" i="66" s="1"/>
  <c r="E21" i="66" s="1"/>
  <c r="E56" i="64"/>
  <c r="E25" i="64"/>
  <c r="E52" i="64"/>
  <c r="E24" i="64"/>
  <c r="E103" i="64"/>
  <c r="E54" i="64"/>
  <c r="E37" i="69" l="1"/>
  <c r="E47" i="69" s="1"/>
  <c r="E49" i="69" s="1"/>
  <c r="E26" i="64"/>
  <c r="E46" i="64" s="1"/>
  <c r="E54" i="66"/>
  <c r="E25" i="66"/>
  <c r="E52" i="66"/>
  <c r="E24" i="66"/>
  <c r="E55" i="66"/>
  <c r="E56" i="66"/>
  <c r="E53" i="66"/>
  <c r="E31" i="64"/>
  <c r="E34" i="64"/>
  <c r="E57" i="64"/>
  <c r="E105" i="64" s="1"/>
  <c r="E33" i="64" l="1"/>
  <c r="E29" i="64"/>
  <c r="E32" i="64"/>
  <c r="E36" i="64"/>
  <c r="E35" i="64"/>
  <c r="E30" i="64"/>
  <c r="E57" i="66"/>
  <c r="E102" i="69"/>
  <c r="E26" i="66"/>
  <c r="E46" i="66" s="1"/>
  <c r="E37" i="64" l="1"/>
  <c r="E47" i="64" s="1"/>
  <c r="E49" i="64" s="1"/>
  <c r="E104" i="64" s="1"/>
  <c r="E36" i="66"/>
  <c r="E34" i="66"/>
  <c r="E32" i="66"/>
  <c r="E29" i="66"/>
  <c r="E35" i="66"/>
  <c r="E31" i="66"/>
  <c r="E30" i="66"/>
  <c r="E33" i="66"/>
  <c r="E37" i="66" l="1"/>
  <c r="E47" i="66" s="1"/>
  <c r="E49" i="66" s="1"/>
  <c r="D98" i="61" l="1"/>
  <c r="D90" i="61"/>
  <c r="D65" i="61"/>
  <c r="D64" i="61"/>
  <c r="D63" i="61"/>
  <c r="D62" i="61"/>
  <c r="D60" i="61"/>
  <c r="D56" i="61"/>
  <c r="D53" i="61"/>
  <c r="E42" i="61"/>
  <c r="E41" i="61"/>
  <c r="D37" i="61"/>
  <c r="D55" i="61" s="1"/>
  <c r="D24" i="61"/>
  <c r="D26" i="61" s="1"/>
  <c r="E17" i="61"/>
  <c r="E16" i="61"/>
  <c r="E41" i="56"/>
  <c r="D57" i="61" l="1"/>
  <c r="E19" i="61"/>
  <c r="E20" i="61" s="1"/>
  <c r="E21" i="61" s="1"/>
  <c r="D66" i="61"/>
  <c r="D74" i="61" s="1"/>
  <c r="D76" i="61" s="1"/>
  <c r="E48" i="61"/>
  <c r="F8" i="47"/>
  <c r="I8" i="47" s="1"/>
  <c r="F19" i="47"/>
  <c r="J19" i="47" s="1"/>
  <c r="F20" i="47"/>
  <c r="J20" i="47" s="1"/>
  <c r="F8" i="60"/>
  <c r="F9" i="47"/>
  <c r="I9" i="47" s="1"/>
  <c r="D20" i="61" l="1"/>
  <c r="E101" i="61"/>
  <c r="E54" i="61"/>
  <c r="E52" i="61"/>
  <c r="E25" i="61"/>
  <c r="E24" i="61"/>
  <c r="E53" i="61"/>
  <c r="E55" i="61"/>
  <c r="E56" i="61"/>
  <c r="G8" i="60"/>
  <c r="G7" i="60"/>
  <c r="G9" i="60" s="1"/>
  <c r="G11" i="60" s="1"/>
  <c r="E26" i="61" l="1"/>
  <c r="E46" i="61" s="1"/>
  <c r="E57" i="61"/>
  <c r="E103" i="61" s="1"/>
  <c r="D64" i="56"/>
  <c r="D63" i="56"/>
  <c r="D62" i="56"/>
  <c r="E33" i="61" l="1"/>
  <c r="E34" i="61"/>
  <c r="E29" i="61"/>
  <c r="E30" i="61"/>
  <c r="E36" i="61"/>
  <c r="E31" i="61"/>
  <c r="E32" i="61"/>
  <c r="E35" i="61"/>
  <c r="D90" i="56"/>
  <c r="E37" i="61" l="1"/>
  <c r="E47" i="61" s="1"/>
  <c r="E49" i="61" s="1"/>
  <c r="E17" i="60"/>
  <c r="D60" i="60"/>
  <c r="D60" i="58"/>
  <c r="E43" i="60"/>
  <c r="E43" i="58"/>
  <c r="E40" i="60"/>
  <c r="E40" i="58"/>
  <c r="E16" i="60"/>
  <c r="E16" i="58"/>
  <c r="E18" i="58" s="1"/>
  <c r="D65" i="56"/>
  <c r="E102" i="61" l="1"/>
  <c r="E18" i="60"/>
  <c r="E79" i="60"/>
  <c r="E69" i="60"/>
  <c r="E70" i="60" s="1"/>
  <c r="E74" i="60" s="1"/>
  <c r="D65" i="60"/>
  <c r="D64" i="60"/>
  <c r="D63" i="60"/>
  <c r="D62" i="60"/>
  <c r="D56" i="60"/>
  <c r="D53" i="60"/>
  <c r="E42" i="60"/>
  <c r="D37" i="60"/>
  <c r="D55" i="60" s="1"/>
  <c r="D24" i="60"/>
  <c r="D26" i="60" s="1"/>
  <c r="E79" i="58"/>
  <c r="E69" i="58"/>
  <c r="E70" i="58" s="1"/>
  <c r="E74" i="58" s="1"/>
  <c r="D65" i="58"/>
  <c r="D64" i="58"/>
  <c r="D62" i="58"/>
  <c r="E41" i="58"/>
  <c r="D63" i="58"/>
  <c r="D56" i="58"/>
  <c r="D53" i="58"/>
  <c r="E42" i="58"/>
  <c r="D37" i="58"/>
  <c r="D55" i="58" s="1"/>
  <c r="D24" i="58"/>
  <c r="D26" i="58" s="1"/>
  <c r="E17" i="58"/>
  <c r="E19" i="58" s="1"/>
  <c r="E20" i="58" s="1"/>
  <c r="E21" i="58" s="1"/>
  <c r="D56" i="56"/>
  <c r="D66" i="60" l="1"/>
  <c r="D73" i="60" s="1"/>
  <c r="D75" i="60" s="1"/>
  <c r="D57" i="60"/>
  <c r="E39" i="60"/>
  <c r="E41" i="60"/>
  <c r="E39" i="58"/>
  <c r="D66" i="58"/>
  <c r="D73" i="58" s="1"/>
  <c r="D75" i="58" s="1"/>
  <c r="D57" i="58"/>
  <c r="E44" i="60" l="1"/>
  <c r="E48" i="60" s="1"/>
  <c r="E44" i="58"/>
  <c r="E48" i="58" s="1"/>
  <c r="E54" i="58" l="1"/>
  <c r="E24" i="58"/>
  <c r="E25" i="58"/>
  <c r="E55" i="58"/>
  <c r="E85" i="58"/>
  <c r="E56" i="58"/>
  <c r="E53" i="58"/>
  <c r="E52" i="58"/>
  <c r="E26" i="58" l="1"/>
  <c r="E33" i="58" s="1"/>
  <c r="E57" i="58"/>
  <c r="E87" i="58" s="1"/>
  <c r="E34" i="58" l="1"/>
  <c r="E35" i="58"/>
  <c r="E46" i="58"/>
  <c r="E29" i="58"/>
  <c r="E36" i="58"/>
  <c r="E32" i="58"/>
  <c r="E31" i="58"/>
  <c r="E30" i="58"/>
  <c r="E37" i="58" l="1"/>
  <c r="E47" i="58" s="1"/>
  <c r="E49" i="58" s="1"/>
  <c r="E86" i="58" l="1"/>
  <c r="E18" i="56" l="1"/>
  <c r="E17" i="56"/>
  <c r="E16" i="56"/>
  <c r="E19" i="56" l="1"/>
  <c r="E20" i="56" l="1"/>
  <c r="E21" i="56" s="1"/>
  <c r="I39" i="56"/>
  <c r="I40" i="56" s="1"/>
  <c r="E56" i="56"/>
  <c r="D20" i="56"/>
  <c r="D98" i="56" l="1"/>
  <c r="D60" i="56"/>
  <c r="D53" i="56"/>
  <c r="E42" i="56"/>
  <c r="D37" i="56"/>
  <c r="D55" i="56" s="1"/>
  <c r="D24" i="56"/>
  <c r="D26" i="56" s="1"/>
  <c r="E48" i="56" l="1"/>
  <c r="D66" i="56"/>
  <c r="D74" i="56" s="1"/>
  <c r="D76" i="56" s="1"/>
  <c r="D57" i="56"/>
  <c r="E101" i="56" l="1"/>
  <c r="E52" i="56"/>
  <c r="E53" i="56"/>
  <c r="E54" i="56"/>
  <c r="E24" i="56"/>
  <c r="E25" i="56"/>
  <c r="E55" i="56"/>
  <c r="E26" i="56" l="1"/>
  <c r="E46" i="56" s="1"/>
  <c r="E57" i="56"/>
  <c r="E103" i="56" s="1"/>
  <c r="E31" i="56" l="1"/>
  <c r="E34" i="56"/>
  <c r="E32" i="56"/>
  <c r="E29" i="56"/>
  <c r="E36" i="56"/>
  <c r="E30" i="56"/>
  <c r="E35" i="56"/>
  <c r="E33" i="56"/>
  <c r="E37" i="56" l="1"/>
  <c r="E47" i="56" s="1"/>
  <c r="E49" i="56" s="1"/>
  <c r="E102" i="56" l="1"/>
  <c r="F11" i="47" l="1"/>
  <c r="I11" i="47" s="1"/>
  <c r="F10" i="47"/>
  <c r="I10" i="47" s="1"/>
  <c r="F7" i="47"/>
  <c r="I7" i="47" s="1"/>
  <c r="F12" i="47" l="1"/>
  <c r="I12" i="47" s="1"/>
  <c r="F6" i="47"/>
  <c r="I6" i="47" s="1"/>
  <c r="F5" i="47"/>
  <c r="I5" i="47" s="1"/>
  <c r="F4" i="47"/>
  <c r="I4" i="47" s="1"/>
  <c r="F3" i="47" l="1"/>
  <c r="I3" i="47" s="1"/>
  <c r="I13" i="47" l="1"/>
  <c r="E79" i="56" l="1"/>
  <c r="E79" i="72"/>
  <c r="E79" i="70"/>
  <c r="E79" i="64"/>
  <c r="E79" i="66"/>
  <c r="E79" i="61"/>
  <c r="E65" i="61" s="1"/>
  <c r="E78" i="60"/>
  <c r="E78" i="58"/>
  <c r="D13" i="2"/>
  <c r="D12" i="2"/>
  <c r="D11" i="2"/>
  <c r="D10" i="2"/>
  <c r="D9" i="2"/>
  <c r="D8" i="2"/>
  <c r="E65" i="70" l="1"/>
  <c r="E64" i="70"/>
  <c r="E62" i="70"/>
  <c r="E63" i="70"/>
  <c r="E61" i="70"/>
  <c r="E60" i="70"/>
  <c r="E66" i="70" s="1"/>
  <c r="E74" i="70" s="1"/>
  <c r="E83" i="70"/>
  <c r="E90" i="70" s="1"/>
  <c r="E83" i="72"/>
  <c r="E90" i="72" s="1"/>
  <c r="E61" i="72"/>
  <c r="E64" i="72"/>
  <c r="E63" i="72"/>
  <c r="E65" i="72"/>
  <c r="E60" i="72"/>
  <c r="E62" i="72"/>
  <c r="E64" i="61"/>
  <c r="E63" i="68"/>
  <c r="E64" i="68"/>
  <c r="E60" i="68"/>
  <c r="E62" i="68"/>
  <c r="E65" i="68"/>
  <c r="E61" i="68"/>
  <c r="E63" i="61"/>
  <c r="E60" i="61"/>
  <c r="E60" i="69"/>
  <c r="E65" i="69"/>
  <c r="E61" i="69"/>
  <c r="E62" i="69"/>
  <c r="E64" i="69"/>
  <c r="E63" i="69"/>
  <c r="E61" i="61"/>
  <c r="E62" i="61"/>
  <c r="E60" i="64"/>
  <c r="E61" i="64"/>
  <c r="E62" i="64"/>
  <c r="E65" i="64"/>
  <c r="E63" i="64"/>
  <c r="E64" i="64"/>
  <c r="E62" i="66"/>
  <c r="E63" i="66"/>
  <c r="E64" i="66"/>
  <c r="E60" i="66"/>
  <c r="E65" i="66"/>
  <c r="E61" i="66"/>
  <c r="E82" i="60"/>
  <c r="E89" i="60" s="1"/>
  <c r="E64" i="56"/>
  <c r="E65" i="56"/>
  <c r="E61" i="56"/>
  <c r="E63" i="56"/>
  <c r="E62" i="56"/>
  <c r="E60" i="56"/>
  <c r="E82" i="58"/>
  <c r="E89" i="58" s="1"/>
  <c r="E65" i="58"/>
  <c r="E61" i="58"/>
  <c r="E64" i="58"/>
  <c r="E60" i="58"/>
  <c r="E62" i="58"/>
  <c r="E63" i="58"/>
  <c r="I22" i="47"/>
  <c r="E66" i="72" l="1"/>
  <c r="E74" i="72" s="1"/>
  <c r="E76" i="72" s="1"/>
  <c r="E89" i="72" s="1"/>
  <c r="E93" i="72" s="1"/>
  <c r="E66" i="61"/>
  <c r="E74" i="61" s="1"/>
  <c r="E66" i="69"/>
  <c r="E74" i="69" s="1"/>
  <c r="E66" i="68"/>
  <c r="E74" i="68" s="1"/>
  <c r="E83" i="68"/>
  <c r="E105" i="68" s="1"/>
  <c r="E80" i="69"/>
  <c r="E83" i="69" s="1"/>
  <c r="E105" i="69" s="1"/>
  <c r="E66" i="66"/>
  <c r="E74" i="66" s="1"/>
  <c r="E66" i="64"/>
  <c r="E74" i="64" s="1"/>
  <c r="E80" i="61"/>
  <c r="E80" i="66"/>
  <c r="E66" i="58"/>
  <c r="E73" i="58" s="1"/>
  <c r="E75" i="58" s="1"/>
  <c r="E88" i="58" s="1"/>
  <c r="E90" i="58" s="1"/>
  <c r="E80" i="56"/>
  <c r="E66" i="56"/>
  <c r="E74" i="56" s="1"/>
  <c r="E69" i="68" l="1"/>
  <c r="E71" i="68" s="1"/>
  <c r="E75" i="68" s="1"/>
  <c r="E76" i="68" s="1"/>
  <c r="E69" i="61"/>
  <c r="E71" i="61" s="1"/>
  <c r="E81" i="64"/>
  <c r="E85" i="64" s="1"/>
  <c r="E81" i="61"/>
  <c r="E83" i="61" s="1"/>
  <c r="E105" i="61" s="1"/>
  <c r="E84" i="66"/>
  <c r="E75" i="61"/>
  <c r="E76" i="61" s="1"/>
  <c r="E91" i="58"/>
  <c r="E81" i="56"/>
  <c r="E83" i="56" s="1"/>
  <c r="E105" i="56" s="1"/>
  <c r="E84" i="68" l="1"/>
  <c r="E85" i="68" s="1"/>
  <c r="E104" i="68"/>
  <c r="E106" i="68" s="1"/>
  <c r="E88" i="68"/>
  <c r="E89" i="68" s="1"/>
  <c r="E90" i="68" s="1"/>
  <c r="E91" i="68" s="1"/>
  <c r="E107" i="64"/>
  <c r="E106" i="66"/>
  <c r="E104" i="61"/>
  <c r="E106" i="61" s="1"/>
  <c r="E84" i="61"/>
  <c r="E85" i="61" s="1"/>
  <c r="E97" i="68" l="1"/>
  <c r="E94" i="68"/>
  <c r="E93" i="68"/>
  <c r="E88" i="61"/>
  <c r="E89" i="61" s="1"/>
  <c r="E90" i="61" s="1"/>
  <c r="E91" i="61" s="1"/>
  <c r="E98" i="68" l="1"/>
  <c r="E99" i="68" s="1"/>
  <c r="E107" i="68" s="1"/>
  <c r="E108" i="68" s="1"/>
  <c r="E109" i="68" s="1"/>
  <c r="E93" i="61"/>
  <c r="E97" i="61"/>
  <c r="E94" i="61"/>
  <c r="F65" i="63" l="1"/>
  <c r="F29" i="63"/>
  <c r="F89" i="63"/>
  <c r="E98" i="61"/>
  <c r="E99" i="61" s="1"/>
  <c r="E107" i="61" s="1"/>
  <c r="E108" i="61" s="1"/>
  <c r="E109" i="61" s="1"/>
  <c r="F41" i="63" l="1"/>
  <c r="G41" i="63" s="1"/>
  <c r="H41" i="63" s="1"/>
  <c r="F77" i="63"/>
  <c r="G77" i="63" s="1"/>
  <c r="H77" i="63" s="1"/>
  <c r="G65" i="63"/>
  <c r="H65" i="63" s="1"/>
  <c r="F52" i="63"/>
  <c r="G52" i="63" s="1"/>
  <c r="H52" i="63" s="1"/>
  <c r="G29" i="63"/>
  <c r="H29" i="63" s="1"/>
  <c r="F15" i="63"/>
  <c r="G15" i="63" s="1"/>
  <c r="H15" i="63" s="1"/>
  <c r="F12" i="63"/>
  <c r="E19" i="60"/>
  <c r="E20" i="60" s="1"/>
  <c r="G12" i="63" l="1"/>
  <c r="H12" i="63" s="1"/>
  <c r="G89" i="63"/>
  <c r="H89" i="63" s="1"/>
  <c r="E21" i="60"/>
  <c r="E54" i="60" l="1"/>
  <c r="E24" i="60"/>
  <c r="E25" i="60"/>
  <c r="E85" i="60"/>
  <c r="E52" i="60"/>
  <c r="E55" i="60"/>
  <c r="E56" i="60"/>
  <c r="E53" i="60"/>
  <c r="E26" i="60" l="1"/>
  <c r="E46" i="60" s="1"/>
  <c r="E57" i="60"/>
  <c r="E87" i="60" s="1"/>
  <c r="E36" i="60"/>
  <c r="E35" i="60"/>
  <c r="E34" i="60" l="1"/>
  <c r="E30" i="60"/>
  <c r="E29" i="60"/>
  <c r="E32" i="60"/>
  <c r="E33" i="60"/>
  <c r="E31" i="60"/>
  <c r="E37" i="60" l="1"/>
  <c r="E47" i="60" s="1"/>
  <c r="E49" i="60" s="1"/>
  <c r="E86" i="60" l="1"/>
  <c r="E63" i="60"/>
  <c r="E62" i="60"/>
  <c r="E64" i="60"/>
  <c r="E61" i="60"/>
  <c r="E60" i="60"/>
  <c r="E65" i="60"/>
  <c r="E66" i="60" l="1"/>
  <c r="E73" i="60" s="1"/>
  <c r="E75" i="60" s="1"/>
  <c r="E88" i="60" s="1"/>
  <c r="E90" i="60" s="1"/>
  <c r="E91" i="60" s="1"/>
  <c r="E71" i="69"/>
  <c r="E75" i="69" s="1"/>
  <c r="E76" i="69" s="1"/>
  <c r="E104" i="69" l="1"/>
  <c r="E106" i="69" s="1"/>
  <c r="E84" i="69"/>
  <c r="E85" i="69" s="1"/>
  <c r="E88" i="69" l="1"/>
  <c r="E89" i="69" s="1"/>
  <c r="E90" i="69" l="1"/>
  <c r="E91" i="69" s="1"/>
  <c r="E97" i="69" l="1"/>
  <c r="E93" i="69"/>
  <c r="E94" i="69"/>
  <c r="E98" i="69" l="1"/>
  <c r="E99" i="69" s="1"/>
  <c r="E107" i="69" s="1"/>
  <c r="E108" i="69" s="1"/>
  <c r="E109" i="69" s="1"/>
  <c r="E107" i="66"/>
  <c r="F64" i="63" l="1"/>
  <c r="F28" i="63"/>
  <c r="F88" i="63"/>
  <c r="F40" i="63" l="1"/>
  <c r="G40" i="63" s="1"/>
  <c r="F76" i="63"/>
  <c r="G76" i="63" s="1"/>
  <c r="F51" i="63"/>
  <c r="G51" i="63" s="1"/>
  <c r="G28" i="63"/>
  <c r="G64" i="63"/>
  <c r="H64" i="63" s="1"/>
  <c r="H51" i="63" l="1"/>
  <c r="G53" i="63"/>
  <c r="H28" i="63"/>
  <c r="G30" i="63"/>
  <c r="H76" i="63"/>
  <c r="G78" i="63"/>
  <c r="H40" i="63"/>
  <c r="G42" i="63"/>
  <c r="G66" i="63"/>
  <c r="G80" i="63" l="1"/>
  <c r="H78" i="63"/>
  <c r="H80" i="63" s="1"/>
  <c r="H30" i="63"/>
  <c r="H32" i="63" s="1"/>
  <c r="G32" i="63"/>
  <c r="G55" i="63"/>
  <c r="H53" i="63"/>
  <c r="H55" i="63" s="1"/>
  <c r="H42" i="63"/>
  <c r="H43" i="63" s="1"/>
  <c r="G43" i="63"/>
  <c r="H66" i="63"/>
  <c r="H68" i="63" s="1"/>
  <c r="G68" i="63"/>
  <c r="G88" i="63"/>
  <c r="H88" i="63" s="1"/>
  <c r="G90" i="63" l="1"/>
  <c r="H90" i="63" l="1"/>
  <c r="H92" i="63" s="1"/>
  <c r="G92" i="63"/>
  <c r="E69" i="64"/>
  <c r="E71" i="64"/>
  <c r="E75" i="64"/>
  <c r="E76" i="64"/>
  <c r="E86" i="64"/>
  <c r="E87" i="64"/>
  <c r="E90" i="64"/>
  <c r="E91" i="64"/>
  <c r="E92" i="64"/>
  <c r="E93" i="64"/>
  <c r="E95" i="64"/>
  <c r="E96" i="64"/>
  <c r="E99" i="64"/>
  <c r="E100" i="64"/>
  <c r="E101" i="64"/>
  <c r="E106" i="64"/>
  <c r="E108" i="64"/>
  <c r="E109" i="64"/>
  <c r="E110" i="64"/>
  <c r="E111" i="64"/>
  <c r="E69" i="70"/>
  <c r="E70" i="70"/>
  <c r="E71" i="70"/>
  <c r="E75" i="70"/>
  <c r="E76" i="70"/>
  <c r="E89" i="70"/>
  <c r="E93" i="70"/>
  <c r="E69" i="56"/>
  <c r="E71" i="56"/>
  <c r="E75" i="56"/>
  <c r="E76" i="56"/>
  <c r="E84" i="56"/>
  <c r="E85" i="56"/>
  <c r="E88" i="56"/>
  <c r="E89" i="56"/>
  <c r="E90" i="56"/>
  <c r="E91" i="56"/>
  <c r="E93" i="56"/>
  <c r="E94" i="56"/>
  <c r="E97" i="56"/>
  <c r="E98" i="56"/>
  <c r="E99" i="56"/>
  <c r="E104" i="56"/>
  <c r="E106" i="56"/>
  <c r="E107" i="56"/>
  <c r="E108" i="56"/>
  <c r="E109" i="56"/>
  <c r="E69" i="66"/>
  <c r="E71" i="66"/>
  <c r="E75" i="66"/>
  <c r="E76" i="66"/>
  <c r="E85" i="66"/>
  <c r="E86" i="66"/>
  <c r="E89" i="66"/>
  <c r="E90" i="66"/>
  <c r="E91" i="66"/>
  <c r="E92" i="66"/>
  <c r="E94" i="66"/>
  <c r="E95" i="66"/>
  <c r="E98" i="66"/>
  <c r="E99" i="66"/>
  <c r="E100" i="66"/>
  <c r="E108" i="66"/>
  <c r="E109" i="66"/>
  <c r="E110" i="66"/>
  <c r="F9" i="63"/>
  <c r="G9" i="63"/>
  <c r="H9" i="63"/>
  <c r="F10" i="63"/>
  <c r="G10" i="63"/>
  <c r="H10" i="63"/>
  <c r="F11" i="63"/>
  <c r="G11" i="63"/>
  <c r="H11" i="63"/>
  <c r="G13" i="63"/>
  <c r="H13" i="63"/>
  <c r="F14" i="63"/>
  <c r="G14" i="63"/>
  <c r="H14" i="63"/>
  <c r="G16" i="63"/>
  <c r="H16" i="63"/>
  <c r="G17" i="63"/>
  <c r="H17" i="63"/>
  <c r="G19" i="63"/>
  <c r="H19" i="63"/>
</calcChain>
</file>

<file path=xl/comments1.xml><?xml version="1.0" encoding="utf-8"?>
<comments xmlns="http://schemas.openxmlformats.org/spreadsheetml/2006/main">
  <authors>
    <author>João Vitor Rodrigues de Souza</author>
  </authors>
  <commentList>
    <comment ref="B17" authorId="0" shapeId="0">
      <text>
        <r>
          <rPr>
            <b/>
            <sz val="9"/>
            <color indexed="81"/>
            <rFont val="Segoe UI"/>
            <charset val="1"/>
          </rPr>
          <t>João Vitor Rodrigues de Souza:</t>
        </r>
        <r>
          <rPr>
            <sz val="9"/>
            <color indexed="81"/>
            <rFont val="Segoe UI"/>
            <charset val="1"/>
          </rPr>
          <t xml:space="preserve">
Calculado sobre o salário minimo. 
</t>
        </r>
      </text>
    </comment>
  </commentList>
</comments>
</file>

<file path=xl/comments2.xml><?xml version="1.0" encoding="utf-8"?>
<comments xmlns="http://schemas.openxmlformats.org/spreadsheetml/2006/main">
  <authors>
    <author>João Vitor Rodrigues de Souza</author>
  </authors>
  <commentList>
    <comment ref="B17" authorId="0" shapeId="0">
      <text>
        <r>
          <rPr>
            <b/>
            <sz val="9"/>
            <color indexed="81"/>
            <rFont val="Segoe UI"/>
            <charset val="1"/>
          </rPr>
          <t>João Vitor Rodrigues de Souza:</t>
        </r>
        <r>
          <rPr>
            <sz val="9"/>
            <color indexed="81"/>
            <rFont val="Segoe UI"/>
            <charset val="1"/>
          </rPr>
          <t xml:space="preserve">
Calculado sobre o salário minimo. 
</t>
        </r>
      </text>
    </comment>
  </commentList>
</comments>
</file>

<file path=xl/comments3.xml><?xml version="1.0" encoding="utf-8"?>
<comments xmlns="http://schemas.openxmlformats.org/spreadsheetml/2006/main">
  <authors>
    <author>João Vitor Rodrigues de Souza</author>
  </authors>
  <commentList>
    <comment ref="B17" authorId="0" shapeId="0">
      <text>
        <r>
          <rPr>
            <b/>
            <sz val="9"/>
            <color indexed="81"/>
            <rFont val="Segoe UI"/>
            <charset val="1"/>
          </rPr>
          <t>João Vitor Rodrigues de Souza:</t>
        </r>
        <r>
          <rPr>
            <sz val="9"/>
            <color indexed="81"/>
            <rFont val="Segoe UI"/>
            <charset val="1"/>
          </rPr>
          <t xml:space="preserve">
Calculado sobre o salário minimo. 
</t>
        </r>
      </text>
    </comment>
  </commentList>
</comments>
</file>

<file path=xl/comments4.xml><?xml version="1.0" encoding="utf-8"?>
<comments xmlns="http://schemas.openxmlformats.org/spreadsheetml/2006/main">
  <authors>
    <author>João Vitor Rodrigues de Souza</author>
  </authors>
  <commentList>
    <comment ref="B17" authorId="0" shapeId="0">
      <text>
        <r>
          <rPr>
            <b/>
            <sz val="9"/>
            <color indexed="81"/>
            <rFont val="Segoe UI"/>
            <charset val="1"/>
          </rPr>
          <t>João Vitor Rodrigues de Souza:</t>
        </r>
        <r>
          <rPr>
            <sz val="9"/>
            <color indexed="81"/>
            <rFont val="Segoe UI"/>
            <charset val="1"/>
          </rPr>
          <t xml:space="preserve">
Calculado sobre o salário minimo. 
</t>
        </r>
      </text>
    </comment>
    <comment ref="D18" authorId="0" shapeId="0">
      <text>
        <r>
          <rPr>
            <b/>
            <sz val="9"/>
            <color indexed="81"/>
            <rFont val="Segoe UI"/>
            <charset val="1"/>
          </rPr>
          <t>João Vitor Rodrigues de Souza:</t>
        </r>
        <r>
          <rPr>
            <sz val="9"/>
            <color indexed="81"/>
            <rFont val="Segoe UI"/>
            <charset val="1"/>
          </rPr>
          <t xml:space="preserve">
MEDIA ARITIMETICA:
365 DIAS / 12 MESES =30,42 DIAS DE TRABALHO MENSAL
30,42 DIAS / 2 VIGILANTES POR MÊS = 15,21 DIAS
</t>
        </r>
      </text>
    </comment>
  </commentList>
</comments>
</file>

<file path=xl/comments5.xml><?xml version="1.0" encoding="utf-8"?>
<comments xmlns="http://schemas.openxmlformats.org/spreadsheetml/2006/main">
  <authors>
    <author>João Vitor Rodrigues de Souza</author>
  </authors>
  <commentList>
    <comment ref="B17" authorId="0" shapeId="0">
      <text>
        <r>
          <rPr>
            <b/>
            <sz val="9"/>
            <color indexed="81"/>
            <rFont val="Segoe UI"/>
            <charset val="1"/>
          </rPr>
          <t>João Vitor Rodrigues de Souza:</t>
        </r>
        <r>
          <rPr>
            <sz val="9"/>
            <color indexed="81"/>
            <rFont val="Segoe UI"/>
            <charset val="1"/>
          </rPr>
          <t xml:space="preserve">
Calculado sobre o salário minimo. 
</t>
        </r>
      </text>
    </comment>
  </commentList>
</comments>
</file>

<file path=xl/comments6.xml><?xml version="1.0" encoding="utf-8"?>
<comments xmlns="http://schemas.openxmlformats.org/spreadsheetml/2006/main">
  <authors>
    <author>João Vitor Rodrigues de Souza</author>
  </authors>
  <commentList>
    <comment ref="B17" authorId="0" shapeId="0">
      <text>
        <r>
          <rPr>
            <b/>
            <sz val="9"/>
            <color indexed="81"/>
            <rFont val="Segoe UI"/>
            <charset val="1"/>
          </rPr>
          <t>João Vitor Rodrigues de Souza:</t>
        </r>
        <r>
          <rPr>
            <sz val="9"/>
            <color indexed="81"/>
            <rFont val="Segoe UI"/>
            <charset val="1"/>
          </rPr>
          <t xml:space="preserve">
Calculado sobre o salário minimo. 
</t>
        </r>
      </text>
    </comment>
  </commentList>
</comments>
</file>

<file path=xl/comments7.xml><?xml version="1.0" encoding="utf-8"?>
<comments xmlns="http://schemas.openxmlformats.org/spreadsheetml/2006/main">
  <authors>
    <author>João Vitor Rodrigues de Souza</author>
  </authors>
  <commentList>
    <comment ref="B17" authorId="0" shapeId="0">
      <text>
        <r>
          <rPr>
            <b/>
            <sz val="9"/>
            <color indexed="81"/>
            <rFont val="Segoe UI"/>
            <charset val="1"/>
          </rPr>
          <t>João Vitor Rodrigues de Souza:</t>
        </r>
        <r>
          <rPr>
            <sz val="9"/>
            <color indexed="81"/>
            <rFont val="Segoe UI"/>
            <charset val="1"/>
          </rPr>
          <t xml:space="preserve">
Calculado sobre o salário minimo. 
</t>
        </r>
      </text>
    </comment>
  </commentList>
</comments>
</file>

<file path=xl/comments8.xml><?xml version="1.0" encoding="utf-8"?>
<comments xmlns="http://schemas.openxmlformats.org/spreadsheetml/2006/main">
  <authors>
    <author>João Vitor Rodrigues de Souza</author>
  </authors>
  <commentList>
    <comment ref="B17" authorId="0" shapeId="0">
      <text>
        <r>
          <rPr>
            <b/>
            <sz val="9"/>
            <color indexed="81"/>
            <rFont val="Segoe UI"/>
            <charset val="1"/>
          </rPr>
          <t>João Vitor Rodrigues de Souza:</t>
        </r>
        <r>
          <rPr>
            <sz val="9"/>
            <color indexed="81"/>
            <rFont val="Segoe UI"/>
            <charset val="1"/>
          </rPr>
          <t xml:space="preserve">
Calculado sobre o salário minimo. 
</t>
        </r>
      </text>
    </comment>
    <comment ref="D18" authorId="0" shapeId="0">
      <text>
        <r>
          <rPr>
            <b/>
            <sz val="9"/>
            <color indexed="81"/>
            <rFont val="Segoe UI"/>
            <charset val="1"/>
          </rPr>
          <t>João Vitor Rodrigues de Souza:</t>
        </r>
        <r>
          <rPr>
            <sz val="9"/>
            <color indexed="81"/>
            <rFont val="Segoe UI"/>
            <charset val="1"/>
          </rPr>
          <t xml:space="preserve">
MEDIA ARITIMETICA:
365 DIAS / 12 MESES =30,42 DIAS DE TRABALHO MENSAL
30,42 DIAS / 2 VIGILANTES POR MÊS = 15,21 DIAS
</t>
        </r>
      </text>
    </comment>
  </commentList>
</comments>
</file>

<file path=xl/sharedStrings.xml><?xml version="1.0" encoding="utf-8"?>
<sst xmlns="http://schemas.openxmlformats.org/spreadsheetml/2006/main" count="2267" uniqueCount="387">
  <si>
    <t>A</t>
  </si>
  <si>
    <t>Data de apresentação da proposta (mês/ano)</t>
  </si>
  <si>
    <t>B</t>
  </si>
  <si>
    <t>C</t>
  </si>
  <si>
    <t>Ano Acordo, Convenção ou Sentença Normativa em Dissídio Coletivo</t>
  </si>
  <si>
    <t>D</t>
  </si>
  <si>
    <t>Identificação do Serviço</t>
  </si>
  <si>
    <t>Anexo III-A – Mão-de-obra</t>
  </si>
  <si>
    <t>Valor (R$)</t>
  </si>
  <si>
    <t>Salário Normativo da Categoria Profissional</t>
  </si>
  <si>
    <t>Categoria profissional (vinculada à execução contratual)</t>
  </si>
  <si>
    <t>Data base da categoria (dia/mês/ano)</t>
  </si>
  <si>
    <t>MÓDULO 1 : COMPOSIÇÃO DA REMUNERAÇÃO</t>
  </si>
  <si>
    <t>Composição da Remuneração</t>
  </si>
  <si>
    <t>Salário</t>
  </si>
  <si>
    <t>Adicional de Periculosidade</t>
  </si>
  <si>
    <t>Adicional Noturno</t>
  </si>
  <si>
    <t>E</t>
  </si>
  <si>
    <t>F</t>
  </si>
  <si>
    <t>G</t>
  </si>
  <si>
    <t>TOTAL DA REMUNERAÇÃO</t>
  </si>
  <si>
    <t>TOTAL DE BENEFÍCIOS MENSAIS E DIÁRIOS</t>
  </si>
  <si>
    <t>4.1</t>
  </si>
  <si>
    <t>Encargos previdenciários e FGTS</t>
  </si>
  <si>
    <t>H</t>
  </si>
  <si>
    <t>TOTAL</t>
  </si>
  <si>
    <t>4.2</t>
  </si>
  <si>
    <t>13 º Salário</t>
  </si>
  <si>
    <t>Provisão para Rescisão</t>
  </si>
  <si>
    <t>Aviso prévio trabalhado</t>
  </si>
  <si>
    <t>Módulo 4 – Encargos sociais e trabalhistas</t>
  </si>
  <si>
    <t>TOTAL DOS ENCARGOS SOCIAIS E TRABALHISTAS</t>
  </si>
  <si>
    <t>Custos Indiretos, Tributos e Lucro</t>
  </si>
  <si>
    <t>Custos Indiretos</t>
  </si>
  <si>
    <t>Lucro (MT + M5.A)</t>
  </si>
  <si>
    <t>Tributos</t>
  </si>
  <si>
    <t>C1. Tributos Federais</t>
  </si>
  <si>
    <t>C.2 Tributos Estaduais (especificar)</t>
  </si>
  <si>
    <t xml:space="preserve">C.3 Tributos Municipais </t>
  </si>
  <si>
    <t>TOTAL DOS TRIBUTOS</t>
  </si>
  <si>
    <t>TOTAL DOS CUSTOS INDIRETOS, TRIBUTOS E LUCRO</t>
  </si>
  <si>
    <t>Mão-de-obra vinculada à execução contratual (valor por empregado)</t>
  </si>
  <si>
    <t>Módulo 1 – Composição da Remuneração</t>
  </si>
  <si>
    <t>VALOR TOTAL POR EMPREGADO</t>
  </si>
  <si>
    <t>Subtotal  para   efeito  de  cálculo  do s Tributos  (MT + MA + MB) FATURAMENTO [(100-8,65)/100]</t>
  </si>
  <si>
    <t xml:space="preserve"> MÓDULO 2: BENEFÍCIOS MENSAIS E DIÁRIOS</t>
  </si>
  <si>
    <t>]</t>
  </si>
  <si>
    <t>27/08/2012 - APLICABILIDADE DA LEI Nº 12.506, DE 11 DE OUTUBRO DE 2011</t>
  </si>
  <si>
    <t>AVISO PRÉVIO TRABALHADO</t>
  </si>
  <si>
    <t>COMUNICA</t>
  </si>
  <si>
    <t>Com a publicação da LEI 12.506/2011, ainda que esta não se manifeste sobre a redução da jornada e da proporcionalidade nos dias de falta ao trabalho no caso de aviso prévio trabalhado, poder-se-ia entender que o empregado teria direito à redução de 2 horas diárias, bem como poderia faltar ao trabalho o número de dias proporcionais ao tempo trabalhado.</t>
  </si>
  <si>
    <r>
      <t>ASSIM SENDO, COM A NOVA PREVISÃO LEGAL</t>
    </r>
    <r>
      <rPr>
        <b/>
        <sz val="8"/>
        <color rgb="FFFF0000"/>
        <rFont val="Verdana"/>
        <family val="2"/>
      </rPr>
      <t>, HAVERÁ NECESSIDADE DE MODIFICAÇÃO NA METODOLOGIA ATÉ ENTÃO ADOTADA PARA PRORROGAÇÃO DOS CONTRATOS DE PRESTAÇÃO DE SERVIÇOS COM ALOCAÇÃO DE MÃO DE OBRA. NESSE CASO, O VALOR PREVISTO A TÍTULO DE AVISO PRÉVIO DEVERÁ CONSIDERAR 3 (TRÊS) DIAS PARA CADA ANO DE PRORROGAÇÃO, ATÉ O LIMITE DE 12 (DOZE) DIAS, PERFAZENDO UM TOTAL DE 42 (QUARENTA E DOIS) DIAS</t>
    </r>
    <r>
      <rPr>
        <sz val="8"/>
        <color rgb="FF000000"/>
        <rFont val="Verdana"/>
        <family val="2"/>
      </rPr>
      <t>, VISTO QUE O INCISO II DO ART. 57 DA LEI N° 8.666, DE 21 DE JUNHO DE 1993, PERMITE QUE OS CONTRATOS DE PRESTAÇÃO DE SERVIÇOS CONTINUADOS SEJAM PRORROGADOS ATÉ UM LIMITE DE SESSENTA MESES, CASO OS PREÇOS E CONDIÇÕES SEJAM MAIS VANTAJOSOS PARA A ADMINISTRAÇÃO. DESSA FORMA, A METODOLOGIA REFLETIRÁ O PRAZO DE AVISO PRÉVIO QUE O EMPREGADO ACUMULA NO PRIMEIRO ANO E NOS SEGUINTES DO CONTRATO.</t>
    </r>
  </si>
  <si>
    <t>Aviso Prévio Trabalhado - Demissão Sem Justa Causa</t>
  </si>
  <si>
    <t>BRASÍLIA-DF, 15 DE AGOSTO DE 2012</t>
  </si>
  <si>
    <t>Tempo Trabalhado</t>
  </si>
  <si>
    <t>Dias de Aviso</t>
  </si>
  <si>
    <t>Faltas ao Trabalho</t>
  </si>
  <si>
    <t>SECRETARIA DE LOGÍSTICA E TECNOLOGIA DA INFORMAÇÃO – SLTI</t>
  </si>
  <si>
    <t>no final do aviso</t>
  </si>
  <si>
    <t>DEPARTAMENTO DE LOGÍSTICA E SERVIÇOS GERAIS – DLSG</t>
  </si>
  <si>
    <t>Até 1 ano</t>
  </si>
  <si>
    <t>COORDENAÇÃO-GERAL DE NORMAS – CGN</t>
  </si>
  <si>
    <t>Até 2 anos</t>
  </si>
  <si>
    <t>Até 3 anos</t>
  </si>
  <si>
    <t>Até 4 anos</t>
  </si>
  <si>
    <t>Até 5 anos</t>
  </si>
  <si>
    <t>Até 6 anos</t>
  </si>
  <si>
    <t>Até 7 anos</t>
  </si>
  <si>
    <t>Até 8 anos</t>
  </si>
  <si>
    <t>Até 9 anos</t>
  </si>
  <si>
    <t>Até 10 anos</t>
  </si>
  <si>
    <t>Até 11 anos</t>
  </si>
  <si>
    <t>Até 12 anos</t>
  </si>
  <si>
    <t>Até 13 anos</t>
  </si>
  <si>
    <t>Até 14 anos</t>
  </si>
  <si>
    <t>Até 15 anos</t>
  </si>
  <si>
    <t>Até 16 anos</t>
  </si>
  <si>
    <t>Até 17 anos</t>
  </si>
  <si>
    <t>Até 18 anos</t>
  </si>
  <si>
    <t>Até 19 anos</t>
  </si>
  <si>
    <t>Até 20 anos</t>
  </si>
  <si>
    <t>A partir de 20 anos</t>
  </si>
  <si>
    <t>VOLTAR PLANILHA PRINCIPAL</t>
  </si>
  <si>
    <r>
      <t>Nota:</t>
    </r>
    <r>
      <rPr>
        <sz val="14"/>
        <color rgb="FF000000"/>
        <rFont val="Calibri"/>
        <family val="2"/>
        <scheme val="minor"/>
      </rPr>
      <t> Entretanto, a lei não especifica que deva aplicar esta proporcionalidade de acordo com o tempo de empresa, porquanto </t>
    </r>
    <r>
      <rPr>
        <b/>
        <u/>
        <sz val="14"/>
        <color rgb="FF000000"/>
        <rFont val="Calibri"/>
        <family val="2"/>
        <scheme val="minor"/>
      </rPr>
      <t>entendemos que a falta ao final do aviso ainda seja de 7 (sete) dias</t>
    </r>
    <r>
      <rPr>
        <sz val="14"/>
        <color rgb="FF000000"/>
        <rFont val="Calibri"/>
        <family val="2"/>
        <scheme val="minor"/>
      </rPr>
      <t>. Já em relação a redução de jornada, </t>
    </r>
    <r>
      <rPr>
        <b/>
        <u/>
        <sz val="14"/>
        <color rgb="FF000000"/>
        <rFont val="Calibri"/>
        <family val="2"/>
        <scheme val="minor"/>
      </rPr>
      <t>entendemos que deva ser de 2 horas independentemente do número de dias</t>
    </r>
    <r>
      <rPr>
        <sz val="14"/>
        <color rgb="FF000000"/>
        <rFont val="Calibri"/>
        <family val="2"/>
        <scheme val="minor"/>
      </rPr>
      <t> de aviso trabalhado.</t>
    </r>
  </si>
  <si>
    <t>Exemplo</t>
  </si>
  <si>
    <t>Empregado (com um ano de emprego) recebeu a comunicação de desligamento em 01.07.2011, optou pela falta ao serviço durante os últimos 7 (sete) dias corridos. Neste caso, considerando o início da contagem dos 30 dias em 02.07.2011 (dia seguinte ao da comunicação), o término do aviso e consequentemente a baixa na CTPS foi em 31.07.2011, embora o mesmo só trabalhe até 24.07.2011.</t>
  </si>
  <si>
    <t>Neste caso, a data de pagamento das verbas rescisórias será o dia seguinte ao término do aviso, ou seja, 01.08.2011.</t>
  </si>
  <si>
    <t>FONTE: www.guiatrabalhista.com.br</t>
  </si>
  <si>
    <t>PRORROGAÇÃO EXECEPCIONAL (§ 4º DO ART. 57 DA LLC)</t>
  </si>
  <si>
    <t>FALTAS LEGAIS</t>
  </si>
  <si>
    <t>Limite de Faltas</t>
  </si>
  <si>
    <t>Motivo</t>
  </si>
  <si>
    <t>Colunas1</t>
  </si>
  <si>
    <t>Colunas2</t>
  </si>
  <si>
    <t>até 2 dias consecutivos</t>
  </si>
  <si>
    <t>Falecimento de cônjuge, ascendente, descendente, irmão ou pessoa que, declarada em sua CTPS, viva sob sua dependência econômica.</t>
  </si>
  <si>
    <t>até 3 dias consecutivos</t>
  </si>
  <si>
    <t>Casamento</t>
  </si>
  <si>
    <t>5 dias, no decorrer da primeira semana</t>
  </si>
  <si>
    <t>Nascimento de Filho (Este inciso fica tacitamente revogado em virtude do inciso XIX do art. 7º da CF/88 que instituiu a Licença-Paternidade e pelo § 1º do Art. 10 da ADCT/88 que fixou o prazo para 5 (cinco) dias.)</t>
  </si>
  <si>
    <t>1 dia em cada 12 meses de trabalho</t>
  </si>
  <si>
    <t>Doação voluntária de sangue devidamente comprovada</t>
  </si>
  <si>
    <t>até 2 dias consecutivos ou não</t>
  </si>
  <si>
    <t>Alistamento eleitoral</t>
  </si>
  <si>
    <t>até 9 dias</t>
  </si>
  <si>
    <t>gala ou luto, em conseqüência de falecimento do cônjuge, do pai ou mãe, ou de filho de professor</t>
  </si>
  <si>
    <t>---</t>
  </si>
  <si>
    <t>Dias em que estiver comprovadamente realizando provas do exame vestibular em estabelecimento de ensino superior</t>
  </si>
  <si>
    <t>No período de tempo em que tiver de cumprir as exigências do Serviço Militar (art. 65 letra "c" da Lei nº 4375/64)</t>
  </si>
  <si>
    <t>Apresentar-se, anualmente, no local e data que forem fixados, para fins de exercício de apresentação das reservas ou cerimônia cívica do Dia do Reservista.</t>
  </si>
  <si>
    <t>Ausências decorrentes de exercícios ou manobras, pelo convocado matriculado em órgão de formação de reserva (art.60 § 4º da Lei º 4375/64)</t>
  </si>
  <si>
    <t>Ausência do empregado, justificada, a critério do empregador</t>
  </si>
  <si>
    <t>Paralisação dos serviços nos dias em que, por conveniência do empregador, não tenha havido trabalho.</t>
  </si>
  <si>
    <t>Falta ao serviço por acidente de trabalho</t>
  </si>
  <si>
    <t>2 semanas</t>
  </si>
  <si>
    <t>Aborto não criminoso, comprovado por atestado médico oficial</t>
  </si>
  <si>
    <t>até 15 dias</t>
  </si>
  <si>
    <t>Doença, devidamente comprovada por atestado médico (1)</t>
  </si>
  <si>
    <t>Comparecimento necessário, como parte, à Justiça do Trabalho</t>
  </si>
  <si>
    <t>Comparecimento para depor na Justiça, quando devidamente arrolado ou convocado como testemunha</t>
  </si>
  <si>
    <t>Comparecimento às sessões do júri, como jurado sorteado</t>
  </si>
  <si>
    <t>Ausências dos representantes dos trabalhadores no Conselho Curador do FGTS, decorrentes de atividades desse órgão</t>
  </si>
  <si>
    <t>Convocação para o serviço eleitoral</t>
  </si>
  <si>
    <t xml:space="preserve"> </t>
  </si>
  <si>
    <t>Tipo de serviço (mesmo serviço com características distintas)</t>
  </si>
  <si>
    <t>ESPECIFICAÇÃO</t>
  </si>
  <si>
    <t>ITEM</t>
  </si>
  <si>
    <t>UND</t>
  </si>
  <si>
    <t>Descrição</t>
  </si>
  <si>
    <t>Quant.</t>
  </si>
  <si>
    <t>Valor Unit.</t>
  </si>
  <si>
    <t>Custo Mensal</t>
  </si>
  <si>
    <t>Valor Total (12 meses)</t>
  </si>
  <si>
    <r>
      <t>N</t>
    </r>
    <r>
      <rPr>
        <strike/>
        <sz val="10"/>
        <rFont val="Calibri"/>
        <family val="2"/>
        <scheme val="minor"/>
      </rPr>
      <t>º</t>
    </r>
    <r>
      <rPr>
        <sz val="10"/>
        <rFont val="Calibri"/>
        <family val="2"/>
        <scheme val="minor"/>
      </rPr>
      <t xml:space="preserve"> de meses de execução contratual</t>
    </r>
  </si>
  <si>
    <t>2.1</t>
  </si>
  <si>
    <t>DÉCIMO TERCEIRO SALÁRIO, FÉRIAS E ADICIONAL DE FÉRIAS</t>
  </si>
  <si>
    <t>Férias (8,33%) e Adicional de Férias (TR x 2,78%)</t>
  </si>
  <si>
    <t xml:space="preserve">Base de cálculo: De acordo com a instrução normativa nº 05/2017 anexo VII nota 3, a base de cálculo neste módulo deverá ser a soma: MÓDULO 1 + SUBMÓDULO 2.1. </t>
  </si>
  <si>
    <t>2.2</t>
  </si>
  <si>
    <t>Inss</t>
  </si>
  <si>
    <t>Sesi ou Sesc</t>
  </si>
  <si>
    <r>
      <rPr>
        <b/>
        <sz val="10"/>
        <rFont val="Calibri"/>
        <family val="2"/>
        <scheme val="minor"/>
      </rPr>
      <t>Senai ou Senac</t>
    </r>
    <r>
      <rPr>
        <sz val="10"/>
        <rFont val="Calibri"/>
        <family val="2"/>
        <scheme val="minor"/>
      </rPr>
      <t xml:space="preserve"> </t>
    </r>
  </si>
  <si>
    <t xml:space="preserve">Incra </t>
  </si>
  <si>
    <r>
      <rPr>
        <b/>
        <sz val="10"/>
        <rFont val="Calibri"/>
        <family val="2"/>
        <scheme val="minor"/>
      </rPr>
      <t>Salário Educação</t>
    </r>
    <r>
      <rPr>
        <sz val="10"/>
        <rFont val="Calibri"/>
        <family val="2"/>
        <scheme val="minor"/>
      </rPr>
      <t xml:space="preserve"> </t>
    </r>
  </si>
  <si>
    <t xml:space="preserve">Fgts </t>
  </si>
  <si>
    <t>RAT X SAT (Conforme GFIP)</t>
  </si>
  <si>
    <t xml:space="preserve">Sebrae </t>
  </si>
  <si>
    <t>2.3</t>
  </si>
  <si>
    <t xml:space="preserve">BENEFÍCIOS MENSAIS E DIÁRIOS </t>
  </si>
  <si>
    <t>Assistência médica e familiar</t>
  </si>
  <si>
    <t xml:space="preserve"> Quadro-resumo do módulo 2-ENCARGOS E BENEFÍCIOS ANUAIS, MENSAIS E DIÁRIOS</t>
  </si>
  <si>
    <t>13º SALÁRIO, FÉRIAS E ADICIONAL DE FÉRIAS</t>
  </si>
  <si>
    <t>GPS, FGTS E OUTRAS CONTRIBUIÇÕES</t>
  </si>
  <si>
    <t>BENEFÍCIOS DIÁRIOS E MENSAIS</t>
  </si>
  <si>
    <t xml:space="preserve"> MÓDULO 3: PROVISÃO PARA RESCISÃO</t>
  </si>
  <si>
    <t>3.0</t>
  </si>
  <si>
    <t>Aviso Prévio Indenizado</t>
  </si>
  <si>
    <t>Incidência do FGTS sobre Aviso Prévio Indenizado</t>
  </si>
  <si>
    <t>Incidência dos encargos do submódulo 2.2 sobre Aviso Prévio Trabalhado</t>
  </si>
  <si>
    <t>MÓDULO 4 – CUSTO DE REPOSIÇÃO DO PROFISSIONAL AUSENTE</t>
  </si>
  <si>
    <t>Submódulo 4.1 - Ausências Legais</t>
  </si>
  <si>
    <t>Substituto na Cobertura de Férias (1/12 avos)</t>
  </si>
  <si>
    <t>Substituto na Cobertura de Ausências Legais (por doença)</t>
  </si>
  <si>
    <t>Substituto na Cobertura de Licença Paternidade</t>
  </si>
  <si>
    <t>Substituto na Cobertura Por Acidente de Trabalho</t>
  </si>
  <si>
    <t>Substituto na Cobertura de Licença Maternidade</t>
  </si>
  <si>
    <t>TOTAL DO SUBMÓDULO 4.1</t>
  </si>
  <si>
    <t>Submódulo 4.2 - Intrajornada</t>
  </si>
  <si>
    <t>Intervalo para Repouso ou Alimentação</t>
  </si>
  <si>
    <t xml:space="preserve"> QUADRO-RESUMO DO MÓDULO 4 - CUSTO DE REPOSIÇÃO DO PROFISSIONAL AUSENTE</t>
  </si>
  <si>
    <t>TOTAL DO MÓDULO 4</t>
  </si>
  <si>
    <t xml:space="preserve"> MÓDULO 5 – INSUMOS DIVERSOS</t>
  </si>
  <si>
    <t>INSUMOS DIVERSOS</t>
  </si>
  <si>
    <t>Uniformes e EPIs</t>
  </si>
  <si>
    <t>Materiais</t>
  </si>
  <si>
    <t>Equipamentos</t>
  </si>
  <si>
    <t>TOTAL DO MÓDULO 5</t>
  </si>
  <si>
    <t xml:space="preserve">MÓDULO 6 – CUSTOS INDIRETOS, TRIBUTOS E LUCRO </t>
  </si>
  <si>
    <t>Módulo 2 – Encargos e Benefícios Anuais, Mensais e Diários</t>
  </si>
  <si>
    <t>Módulo 3 – Provisão para Rescisão</t>
  </si>
  <si>
    <t>Módulo 4 – Custo de Reposição do Profissional Ausente</t>
  </si>
  <si>
    <t>Módulo 5 – Insumos Diversos</t>
  </si>
  <si>
    <t>SERVIÇO DE VIGILÂNCIA</t>
  </si>
  <si>
    <t>Sapato</t>
  </si>
  <si>
    <t>Cinto de Nylon</t>
  </si>
  <si>
    <t>Meias</t>
  </si>
  <si>
    <t>Crachá</t>
  </si>
  <si>
    <t>Distintivo tipo broche</t>
  </si>
  <si>
    <t>Quepe</t>
  </si>
  <si>
    <t>Livro de ocorrências</t>
  </si>
  <si>
    <t>Cassetete</t>
  </si>
  <si>
    <t xml:space="preserve">Porta-cassetete </t>
  </si>
  <si>
    <t>Apito</t>
  </si>
  <si>
    <t>Cordão de apito</t>
  </si>
  <si>
    <t>Cinturão para revólver</t>
  </si>
  <si>
    <t>Coldre</t>
  </si>
  <si>
    <t>Munição calibre 38</t>
  </si>
  <si>
    <t>Arma não letal à base de óleos vegetais, de graduação alimentícia</t>
  </si>
  <si>
    <t>Capa para colete balístico</t>
  </si>
  <si>
    <t>Lanterna recarregável</t>
  </si>
  <si>
    <t>Vida Útil (meses)*</t>
  </si>
  <si>
    <t>Valor Mensal do Posto Diurno (DESARMADO)</t>
  </si>
  <si>
    <t xml:space="preserve">Serviço de vigilância </t>
  </si>
  <si>
    <t>-</t>
  </si>
  <si>
    <t>Adicional de Insalubridade</t>
  </si>
  <si>
    <t>CLÁUSULA 44ª CCT</t>
  </si>
  <si>
    <t>CLAÚSULA 23ª DA CCT</t>
  </si>
  <si>
    <t>Saúde e Segurança do Trabalhador (SESMT)</t>
  </si>
  <si>
    <t xml:space="preserve">C1-A  (PIS 0,65%)   </t>
  </si>
  <si>
    <t>C1. B  (COFINS 3,0%)</t>
  </si>
  <si>
    <t>SUBTOTAL</t>
  </si>
  <si>
    <t>Multa sobre FGTS e Contribuição Social sobre o Aviso Prévio Indenizado e sobre o Aviso Prévio Trabalhado. (Alterado Conf. Lei nº 13.932/2019)</t>
  </si>
  <si>
    <t>SESMT (cláusula 36ª CCT)</t>
  </si>
  <si>
    <t>QUADRO RESUMO DO CUSTO POR EMPREGADO</t>
  </si>
  <si>
    <t>Despesas com vigilante parcial p/ hora intrajornada (1.497,22/220=6,81)*15 dias</t>
  </si>
  <si>
    <t>Adicional de Periculosidade Horista</t>
  </si>
  <si>
    <t>DSR Sobre o Vencimento</t>
  </si>
  <si>
    <t>Auxílio alimentação Vigilante Parcial</t>
  </si>
  <si>
    <t>Transporte Vigilante Parcial</t>
  </si>
  <si>
    <t>Cesta básica Vigilane Parcial  (((salário hor*16%)-(sal hor*1%))/12)</t>
  </si>
  <si>
    <t xml:space="preserve">Substituto na Cobertura de Férias </t>
  </si>
  <si>
    <t xml:space="preserve"> Adicional de Férias (TR x 2,78%)</t>
  </si>
  <si>
    <t>5,96 dias/ano IBGE. (5,96 dias/30 dias) x (1/12 meses) = 0,0166 = 1,66%</t>
  </si>
  <si>
    <t xml:space="preserve">  Vigilância: (5 dias/30dias) x (1/12 meses) x 6,24% taxa de fecundidade x 95,04% participação masculina = 0,08%</t>
  </si>
  <si>
    <t>1 falta/ano. (1 dia/30 dias) x (1/12 meses) = 0,0028 = 0,28%</t>
  </si>
  <si>
    <t>(0,91 dias / 30 dias)x(1/12 meses) = 0,0025 = 0,25%</t>
  </si>
  <si>
    <t>reciclagem (7 dias /30dias) x ( 1 / 24 meses )</t>
  </si>
  <si>
    <t>CLAÚSULA 36ª DA CCT</t>
  </si>
  <si>
    <t>VALOR TOTAL POR POSTO</t>
  </si>
  <si>
    <t>VIGILANTE PARCIAL - HORISTA DIURNO</t>
  </si>
  <si>
    <t>VIGILANTE PARCIAL - HORISTA NOTURNO</t>
  </si>
  <si>
    <t>CLÁUSULA 15ª CCT</t>
  </si>
  <si>
    <t>Seguro de vida, Invalidez e Auxilio Funeral</t>
  </si>
  <si>
    <t>Outros  (Substituo para reciclagem)</t>
  </si>
  <si>
    <t>xxxx/2022</t>
  </si>
  <si>
    <t xml:space="preserve"> Valor Total:</t>
  </si>
  <si>
    <t>Contratação de empresa para prestação de serviços de vigilância armada com seus respectivos insumos, acessórios e equipamentos necessários ao bom desempenho da atividade, de forma a atender as necessidades de proteção e segurança no ambiente da Central de Abastecimento do Estado de Rondônia - CEARO , de forma continua por um período de 12 (doze)  meses.</t>
  </si>
  <si>
    <t>Jaqueta (Japona)</t>
  </si>
  <si>
    <t>Capa de Chuva</t>
  </si>
  <si>
    <t>Despesas com vigilante parcial p/ hora intrajornada (1.497,22/220=6,81)*15,21 dias</t>
  </si>
  <si>
    <t xml:space="preserve">Senai ou Senac </t>
  </si>
  <si>
    <t xml:space="preserve">Salário Educação </t>
  </si>
  <si>
    <t>(M-T)      CUSTO TOTAL DA PLANILHA PARA EFEITO DE CÁLCULO DO MÓDULO 6 (M1+M2+M3+M4+M5)</t>
  </si>
  <si>
    <t>Módulo 6 – Custos indiretos, tributos e lucro</t>
  </si>
  <si>
    <t>Outros  (Substituto para reciclagem)</t>
  </si>
  <si>
    <t xml:space="preserve">Intervalo para Repouso ou Alimentação </t>
  </si>
  <si>
    <t>PLANILHA DE CUSTOS E FORMAÇÃO DE PREÇOS</t>
  </si>
  <si>
    <t xml:space="preserve">C3-A (ISS 5,00%) </t>
  </si>
  <si>
    <t>VIGILANTE - NOTURNO (ARMADO)</t>
  </si>
  <si>
    <t>Calça</t>
  </si>
  <si>
    <t>INSS, FGTS E OUTRAS CONTRIBUIÇÕES</t>
  </si>
  <si>
    <t>Valor Mensal do Posto Diurno (ARMADO)</t>
  </si>
  <si>
    <t xml:space="preserve">VIGILANTE </t>
  </si>
  <si>
    <t>Saúde e Segurança do Trabalhador (SESMT) - Cláusula 8ª, § 1º do Termo Aditivo CCT 23/24</t>
  </si>
  <si>
    <t xml:space="preserve">25% do valor do salário/hora salario </t>
  </si>
  <si>
    <t xml:space="preserve">Adicional Noturno - </t>
  </si>
  <si>
    <t>Valor Mensal do Posto Noturno (ARMADO)</t>
  </si>
  <si>
    <t>SABADOS/ANO</t>
  </si>
  <si>
    <t xml:space="preserve">DOMINGOS/ANO </t>
  </si>
  <si>
    <t>ANO/DIAS</t>
  </si>
  <si>
    <t>DIAS TRABALHADOS ANO- 2 VIGILANTES</t>
  </si>
  <si>
    <t>DIAS POR ANO/ VIGILANTE</t>
  </si>
  <si>
    <t xml:space="preserve"> DIAS/MÊS</t>
  </si>
  <si>
    <t>ESCALA 2ª A 6ª FEIRA</t>
  </si>
  <si>
    <t>ESCALA 2ª A DOMINGO</t>
  </si>
  <si>
    <t>DIAS POR MÊS/VIGILANTE</t>
  </si>
  <si>
    <t>TIPO DE POSTO</t>
  </si>
  <si>
    <t>TIPO 1</t>
  </si>
  <si>
    <t>TIPO 2</t>
  </si>
  <si>
    <t>TIPO 3</t>
  </si>
  <si>
    <t>TIPO 4</t>
  </si>
  <si>
    <t xml:space="preserve">LOTE I </t>
  </si>
  <si>
    <t xml:space="preserve">2 - TUDO AQUI CENTRO </t>
  </si>
  <si>
    <t>1 -  Palácio Rio Madeira e anexos: Estação de Tratamento de Esgoto- ETE, Hangar e Frota Única</t>
  </si>
  <si>
    <r>
      <t>Posto de Vigilância 12 HORAS </t>
    </r>
    <r>
      <rPr>
        <b/>
        <sz val="11"/>
        <color rgb="FF000000"/>
        <rFont val="Calibri"/>
        <family val="2"/>
        <scheme val="minor"/>
      </rPr>
      <t>DIURNAS</t>
    </r>
    <r>
      <rPr>
        <sz val="11"/>
        <color rgb="FF000000"/>
        <rFont val="Calibri"/>
        <family val="2"/>
        <scheme val="minor"/>
      </rPr>
      <t>, de </t>
    </r>
    <r>
      <rPr>
        <b/>
        <sz val="11"/>
        <color rgb="FF000000"/>
        <rFont val="Calibri"/>
        <family val="2"/>
        <scheme val="minor"/>
      </rPr>
      <t>segunda feira a sexta feira (inclusive nos feriados)</t>
    </r>
    <r>
      <rPr>
        <sz val="11"/>
        <color rgb="FF000000"/>
        <rFont val="Calibri"/>
        <family val="2"/>
        <scheme val="minor"/>
      </rPr>
      <t>, em turnos de 12 (doze) X 36 (trinta e seis) horas</t>
    </r>
  </si>
  <si>
    <r>
      <t>Posto de Vigilância 12 HORAS</t>
    </r>
    <r>
      <rPr>
        <b/>
        <sz val="11"/>
        <color theme="1"/>
        <rFont val="Calibri"/>
        <family val="2"/>
        <scheme val="minor"/>
      </rPr>
      <t xml:space="preserve"> DIURNAS</t>
    </r>
    <r>
      <rPr>
        <sz val="11"/>
        <color theme="1"/>
        <rFont val="Calibri"/>
        <family val="2"/>
        <scheme val="minor"/>
      </rPr>
      <t xml:space="preserve">, de </t>
    </r>
    <r>
      <rPr>
        <b/>
        <sz val="11"/>
        <color theme="1"/>
        <rFont val="Calibri"/>
        <family val="2"/>
        <scheme val="minor"/>
      </rPr>
      <t>segunda feira a sexta feira (inclusive nos feriados)</t>
    </r>
    <r>
      <rPr>
        <sz val="11"/>
        <color theme="1"/>
        <rFont val="Calibri"/>
        <family val="2"/>
        <scheme val="minor"/>
      </rPr>
      <t>, em turnos de 12 (doze) X 36 (trinta e seis) horas</t>
    </r>
  </si>
  <si>
    <r>
      <t>Posto de Vigilância 12 HORAS </t>
    </r>
    <r>
      <rPr>
        <b/>
        <sz val="11"/>
        <color rgb="FF000000"/>
        <rFont val="Calibri"/>
        <family val="2"/>
        <scheme val="minor"/>
      </rPr>
      <t>DIURNAS</t>
    </r>
    <r>
      <rPr>
        <sz val="11"/>
        <color rgb="FF000000"/>
        <rFont val="Calibri"/>
        <family val="2"/>
        <scheme val="minor"/>
      </rPr>
      <t>, de </t>
    </r>
    <r>
      <rPr>
        <b/>
        <sz val="11"/>
        <color rgb="FF000000"/>
        <rFont val="Calibri"/>
        <family val="2"/>
        <scheme val="minor"/>
      </rPr>
      <t>segunda feira a domingo (inclusive nos feriados)</t>
    </r>
    <r>
      <rPr>
        <sz val="11"/>
        <color rgb="FF000000"/>
        <rFont val="Calibri"/>
        <family val="2"/>
        <scheme val="minor"/>
      </rPr>
      <t>, em turnos de 12 (doze) X 36 (trinta e seis) horas</t>
    </r>
  </si>
  <si>
    <r>
      <t>Posto de Vigilância 12 HORAS </t>
    </r>
    <r>
      <rPr>
        <b/>
        <sz val="11"/>
        <color rgb="FF000000"/>
        <rFont val="Calibri"/>
        <family val="2"/>
        <scheme val="minor"/>
      </rPr>
      <t>NOTURNAS</t>
    </r>
    <r>
      <rPr>
        <sz val="11"/>
        <color rgb="FF000000"/>
        <rFont val="Calibri"/>
        <family val="2"/>
        <scheme val="minor"/>
      </rPr>
      <t>, de </t>
    </r>
    <r>
      <rPr>
        <b/>
        <sz val="11"/>
        <color rgb="FF000000"/>
        <rFont val="Calibri"/>
        <family val="2"/>
        <scheme val="minor"/>
      </rPr>
      <t>segunda feira a domingo (inclusive nos feriados)</t>
    </r>
    <r>
      <rPr>
        <sz val="11"/>
        <color rgb="FF000000"/>
        <rFont val="Calibri"/>
        <family val="2"/>
        <scheme val="minor"/>
      </rPr>
      <t>, em turnos de 12 (doze) X 36 (trinta e seis) horas</t>
    </r>
  </si>
  <si>
    <r>
      <t xml:space="preserve">Posto de Vigilância 12 HORAS </t>
    </r>
    <r>
      <rPr>
        <b/>
        <sz val="11"/>
        <color theme="1"/>
        <rFont val="Calibri"/>
        <family val="2"/>
        <scheme val="minor"/>
      </rPr>
      <t>NOTURNAS</t>
    </r>
    <r>
      <rPr>
        <sz val="11"/>
        <color theme="1"/>
        <rFont val="Calibri"/>
        <family val="2"/>
        <scheme val="minor"/>
      </rPr>
      <t xml:space="preserve">, de </t>
    </r>
    <r>
      <rPr>
        <b/>
        <sz val="11"/>
        <color theme="1"/>
        <rFont val="Calibri"/>
        <family val="2"/>
        <scheme val="minor"/>
      </rPr>
      <t>segunda feira a domingo (inclusive nos feriados)</t>
    </r>
    <r>
      <rPr>
        <sz val="11"/>
        <color theme="1"/>
        <rFont val="Calibri"/>
        <family val="2"/>
        <scheme val="minor"/>
      </rPr>
      <t>, em turnos de 12 (doze) X 36 (trinta e seis) horas</t>
    </r>
  </si>
  <si>
    <t>* Considerando que nem todas as cidades do interior possuem transporte coletivo, fora utilizado o valor da tarifa de ônibus da capital para que esse item não restase zerado na planilha estimativa de custos, em decorrência das opções que poderão ser concedidas ao empregado, tais como ajuda de custo para quem tem veículo próprio.</t>
  </si>
  <si>
    <t xml:space="preserve">LOTE I - ESTIMATIVA TOTAL </t>
  </si>
  <si>
    <t>QTD DE POSTO POR TIPO</t>
  </si>
  <si>
    <t>VALOR MENSAL DO POSTO</t>
  </si>
  <si>
    <t>VALOR  ANUAL DO POSTO</t>
  </si>
  <si>
    <t>VALOR UNTÁRIO DO  POSTO</t>
  </si>
  <si>
    <r>
      <t xml:space="preserve">Serviços de Vigilância/ Segurança Patrimonial - </t>
    </r>
    <r>
      <rPr>
        <b/>
        <sz val="11"/>
        <color theme="1"/>
        <rFont val="Calibri"/>
        <family val="2"/>
        <scheme val="minor"/>
      </rPr>
      <t>Desarmada</t>
    </r>
  </si>
  <si>
    <r>
      <t xml:space="preserve">Serviços de Vigilância/ Segurança Patrimonial </t>
    </r>
    <r>
      <rPr>
        <b/>
        <sz val="11"/>
        <color theme="1"/>
        <rFont val="Calibri"/>
        <family val="2"/>
        <scheme val="minor"/>
      </rPr>
      <t>Armada</t>
    </r>
  </si>
  <si>
    <t xml:space="preserve">SERVIÇO DE VIGILÂNCIA </t>
  </si>
  <si>
    <t>Revólver calibre 38- capacidade  06 munições  comprimento de cano igual ou superior a 4" polegadas, empunhadura de madeira ou borracha, gatilho de ação dupla e ação simples, peso sem munição de 1.031 gramas aproximadas.</t>
  </si>
  <si>
    <t>Camisa manga longa</t>
  </si>
  <si>
    <t>Veículo deve ser uma motocicleta zero quilometro com cilindrada igual ou superior a 150 cilindradas categoria Trail ( modelos de referência HONDA NXR BROS ESDD , ou YAMAHA CROSSER Z ABS).</t>
  </si>
  <si>
    <t>Capacete Motoqueiro tipo Escamoteável</t>
  </si>
  <si>
    <t xml:space="preserve">Valor Total </t>
  </si>
  <si>
    <t>Valor Total</t>
  </si>
  <si>
    <t xml:space="preserve"> Rádio transmissor, deve ser portátil, com fone de ouvido tipo PTT, com no mínimo as seguintes características: Modo dual digital, Comunicações de voz, Modo direto de capacidade dual, Atende aos padrões de Rádio Móvel Digital (DMR), Atende às regras de Narrowbanding, Classifcação IP54, Criptografa analógica, 16 canais, 2 botões programáveis, CSQ/PL/DPL/inv-DPL, Bloqueio de canal ocupado, Canal de recepção dedicado, X-Pand, Transmissão ativada por voz (VOX) integrada, Eliminação de canal barulhento, Limitador de tempo de transmissão, Repetidor / comunicação direta, Rastreamento de prioridade dupla, Sinalização MDC-1200) - PTT-ID (envio) - Verifcação do Rádio (recepção) - Inibição seletiva de rádio (recepção), Sinalização Quick-Call II - Chamada de alerta (recepção) - Chamada de voz seletiva (recepção), Inversão de Voz, Bateria de íon de lítio (1600 mAh), peso com bateria 12,1 oz (341 g). Especificações de rádio motorolla dep 450.  Contudo a empresa poderá utilizar rádios iguais/superiores deste que a tecnologia seja compativel com o utilizado pela Casa Militar. </t>
  </si>
  <si>
    <t>Colete à prova de balas  nível de proteção II A ou superior, composto por dois painéis, um frontal e outro dorsal, dispostos em camadas, formadas pela superposição de lâminas balísticas sucessivas confeccionadas em material leve e flexível em polietileno</t>
  </si>
  <si>
    <t>Veiculos/Equipamento Vigilante motorizado</t>
  </si>
  <si>
    <t>EQUIPAMENTOS - VIGILANTE ARMADO - Lote I</t>
  </si>
  <si>
    <t>Radio comunicador portátil, carrwegamento USB, 20 canais, bateria 24 horas, alcance de 32 km, 26 canais, com classificação IP54 a prova de intempéries. Modelo de Referência : Motorola talkabout T38.</t>
  </si>
  <si>
    <t xml:space="preserve"> Rádio transmissor, deve ser portátil, com fone de ouvido tipo PTT, com no mínimo as seguintes características: Modo dual digital, Comunicações de voz, Modo direto de capacidade dual, Atende aos padrões de Rádio Móvel Digital (DMR), Atende às regras de Narrowbanding, Classifcação IP54, Criptografa analógica, 16 canais, 2 botões programáveis, CSQ/PL/DPL/inv-DPL, Bloqueio de canal ocupado, Canal de recepção dedicado, X-Pand, Transmissão ativada por voz (VOX) integrada, Eliminação de canal barulhento, Limitador de tempo de transmissão, Repetidor / comunicação direta, Rastreamento de prioridade dupla, Sinalização MDC-1200) - PTT-ID (envio) - Verifcação do Rádio (recepção) - Inibição seletiva de rádio (recepção), Sinalização Quick-Call II - Chamada de alerta (recepção) - Chamada de voz seletiva (recepção), Inversão de Voz, Bateria de íon de lítio (1600 mAh), peso com bateria 12,1 oz (341 g). Especificações de rádio motorolla dep 450 como referência.  Contudo a empresa poderá utilizar rádios iguais/superiores deste que a tecnologia seja compativel com o utilizado pela Casa Militar. </t>
  </si>
  <si>
    <t>MATERIAIS -  LOTE I</t>
  </si>
  <si>
    <t>Uniformes - Por Vigilante para 12 Meses - LOTE I</t>
  </si>
  <si>
    <t>EQUIPAMENTOS - VIGILANTE DESARMADO -  LOTE I</t>
  </si>
  <si>
    <t>Cinturão</t>
  </si>
  <si>
    <t>EQUIPAMENTOS - VIGILANTE ARMADO - LOTE II a VI</t>
  </si>
  <si>
    <t>MATERIAIS -  Lote  LOTE II a VI</t>
  </si>
  <si>
    <t>Uniformes - Por Vigilante para 12 Meses -   LOTE II a VI</t>
  </si>
  <si>
    <t>Valor Mensal do Posto Diurno (ARMADO MOTORIZADO)</t>
  </si>
  <si>
    <t xml:space="preserve">LOTE II- ESTIMATIVA TOTAL </t>
  </si>
  <si>
    <t xml:space="preserve">LOTE III - ESTIMATIVA TOTAL </t>
  </si>
  <si>
    <t xml:space="preserve">LOTE IV - ESTIMATIVA TOTAL </t>
  </si>
  <si>
    <t>LOTE VI</t>
  </si>
  <si>
    <t xml:space="preserve">LOTE V - ESTIMATIVA TOTAL </t>
  </si>
  <si>
    <t xml:space="preserve">LOTE VI - ESTIMATIVA TOTAL </t>
  </si>
  <si>
    <t>Posto Tudo Aqui ARI- ÚNICO</t>
  </si>
  <si>
    <t>Posto Tudo Aqui JIPA- ÚNICO</t>
  </si>
  <si>
    <t>LOTE III - UNIDADE  TUDO AQUI JI-PARANÁ</t>
  </si>
  <si>
    <t xml:space="preserve">LOTE II - UNIDADE DO TUDO AQUI ARIQUEMES </t>
  </si>
  <si>
    <t xml:space="preserve">LOTE IV -  UNIDADE TUDO AQUI ROLIM DE MOURA </t>
  </si>
  <si>
    <t>Posto Tudo Aqui RM- ÚNICO</t>
  </si>
  <si>
    <t>LOTE V - SECRETARIA EXECUTIVA REGIONAL-SER IV  - OURO PRETO DO OESTE/RO</t>
  </si>
  <si>
    <t>Posto SER IV - ÚNICO</t>
  </si>
  <si>
    <t>LOTE VII</t>
  </si>
  <si>
    <t>Posto SER VI - ÚNICO</t>
  </si>
  <si>
    <t>Posto SER X - ÚNICO</t>
  </si>
  <si>
    <t xml:space="preserve">LOTE VII - ESTIMATIVA TOTAL </t>
  </si>
  <si>
    <t>* Considerando que nem todas as cidades do interior possuem transporte coletivo, foi utilizado o valor da tarifa de ônibus da capital para que esse item não restasse zerado na planilha estimativa de custos, em decorrência das opções que poderão ser concedidas ao empregado, tais como ajuda de custo para quem tem veículo próprio.</t>
  </si>
  <si>
    <t>1 Arma por Posto de Trabalho
(será considerado para efeito de quantitativo de Arma o posto Diurno e Noturno como sendo ''1 Posto'')</t>
  </si>
  <si>
    <t xml:space="preserve">Quantidade vigilantes por Posto </t>
  </si>
  <si>
    <t>TOTAL ITEM 1</t>
  </si>
  <si>
    <t>TOTAL ITEM 2</t>
  </si>
  <si>
    <t xml:space="preserve"> Valor Total do lote:</t>
  </si>
  <si>
    <t>PROCESSO ADMINISTRATIVO Nº 0042.005127/2023-23</t>
  </si>
  <si>
    <r>
      <t xml:space="preserve">OBJETO: Serviços de vigilância armada e desarmada, ostensiva, orgânica, preventiva, diurna e noturna, de forma contínua, mediante o fornecimento de mão de obra, com pessoal treinado e qualificado, devidamente uniformizado e identificado com o uso de crachá , incluindo equipamentos e materiais sob sua inteira responsabilidade, de acordo com as condições, especificações e quantitativos mínimos contidos neste Termo, para proteção e guarda dos bens móveis e imóveis, fiscalização, controle do acesso de pessoas, veículos e bens materiais e realização de rondas nas áreas internas, externas e adjacentes  para o </t>
    </r>
    <r>
      <rPr>
        <b/>
        <sz val="11"/>
        <rFont val="Calibri"/>
        <family val="2"/>
        <scheme val="minor"/>
      </rPr>
      <t xml:space="preserve">Palácio Rio Madeira e </t>
    </r>
    <r>
      <rPr>
        <sz val="11"/>
        <rFont val="Calibri"/>
        <family val="2"/>
        <scheme val="minor"/>
      </rPr>
      <t>seus anexo</t>
    </r>
    <r>
      <rPr>
        <b/>
        <sz val="11"/>
        <rFont val="Calibri"/>
        <family val="2"/>
        <scheme val="minor"/>
      </rPr>
      <t>s (Estação de Tratamento de Esgoto- ETE, Hangar e Frota Única) e Unidade de Atendimento ao Cidadão-TUDO AQUI CENTRO</t>
    </r>
    <r>
      <rPr>
        <sz val="11"/>
        <rFont val="Calibri"/>
        <family val="2"/>
        <scheme val="minor"/>
      </rPr>
      <t xml:space="preserve"> na Cidade de Porto Velho/RO.</t>
    </r>
  </si>
  <si>
    <t xml:space="preserve">Depreciação Mensal </t>
  </si>
  <si>
    <t xml:space="preserve">Depreciação anual </t>
  </si>
  <si>
    <t xml:space="preserve">Identificação do Serviço - </t>
  </si>
  <si>
    <r>
      <rPr>
        <b/>
        <sz val="10"/>
        <rFont val="Calibri"/>
        <family val="2"/>
        <scheme val="minor"/>
      </rPr>
      <t xml:space="preserve">POSTO TIPO 4 </t>
    </r>
    <r>
      <rPr>
        <sz val="10"/>
        <rFont val="Calibri"/>
        <family val="2"/>
        <scheme val="minor"/>
      </rPr>
      <t xml:space="preserve">- SERVIÇO DE VIGILÂNCIA - NOTURNO (ARMADO) SEG. A DOM. 12X36 - </t>
    </r>
    <r>
      <rPr>
        <b/>
        <sz val="10"/>
        <rFont val="Calibri"/>
        <family val="2"/>
        <scheme val="minor"/>
      </rPr>
      <t>LOTE II a VII</t>
    </r>
  </si>
  <si>
    <r>
      <rPr>
        <b/>
        <sz val="10"/>
        <rFont val="Calibri"/>
        <family val="2"/>
        <scheme val="minor"/>
      </rPr>
      <t xml:space="preserve">POSTO TIPO 3 </t>
    </r>
    <r>
      <rPr>
        <sz val="10"/>
        <rFont val="Calibri"/>
        <family val="2"/>
        <scheme val="minor"/>
      </rPr>
      <t>- SERVIÇO DE VIGILÂNCIA -  DIURNO (ARMADO) SEG. A DOM. 12X36 -</t>
    </r>
    <r>
      <rPr>
        <b/>
        <sz val="10"/>
        <rFont val="Calibri"/>
        <family val="2"/>
        <scheme val="minor"/>
      </rPr>
      <t xml:space="preserve"> LOTE II a VII</t>
    </r>
  </si>
  <si>
    <r>
      <rPr>
        <b/>
        <sz val="8"/>
        <color theme="1"/>
        <rFont val="Calibri"/>
        <family val="2"/>
        <scheme val="minor"/>
      </rPr>
      <t xml:space="preserve"> (Solução consulta COSIT N° 99009 DE 14/08/2023)</t>
    </r>
    <r>
      <rPr>
        <sz val="8"/>
        <color theme="1"/>
        <rFont val="Calibri"/>
        <family val="2"/>
        <scheme val="minor"/>
      </rPr>
      <t xml:space="preserve"> </t>
    </r>
  </si>
  <si>
    <t>RO000062/2024</t>
  </si>
  <si>
    <t>01 DE MARÇO</t>
  </si>
  <si>
    <t>Transporte - - média dias trabalhados/mês11*2=22</t>
  </si>
  <si>
    <t>Auxílio alimentação - média dias trabalhados/mês =11</t>
  </si>
  <si>
    <t xml:space="preserve">Cesta básica - =((E11*16%) -(E11*1%))/12 - </t>
  </si>
  <si>
    <t xml:space="preserve">Assistência médica/odontológica </t>
  </si>
  <si>
    <t xml:space="preserve">Seguro de vida, Invalidez e Auxilio Funeral - </t>
  </si>
  <si>
    <t>(((sal. Base + pericul.)*26)+((sal. Base)*5))/1000*taxa conversão seguradora</t>
  </si>
  <si>
    <t>Seguro de vida, Invalidez e Auxilio Funeral - (((sal. Base + pericul.)*26)+((sal. Base)*5))/1000* 0,21 (taxa conversão seguradora)</t>
  </si>
  <si>
    <t>Transporte - média dias trabalhados/mês11*2=22</t>
  </si>
  <si>
    <t>Salário Despesas com vigilante parcial p/ hora intrajornada (R$ 1.695,43/220=7,71)*15,21 dias</t>
  </si>
  <si>
    <t>DSR vencimento</t>
  </si>
  <si>
    <t>Transporte - Vigilante parcial</t>
  </si>
  <si>
    <t>Auxílio alimentação vigilante parcial</t>
  </si>
  <si>
    <t xml:space="preserve">Cesta básica Vigilante parcial - =((E11*16%) -(E11*1%))/12 - </t>
  </si>
  <si>
    <t>1 Colete(protetor basilistico) por Posto de Trabalho
(será considerado para efeito de quantitativo de colete o posto Diurno e Noturno como sendo ''1 Posto'')</t>
  </si>
  <si>
    <t>QUADRO RESUMO DO CUSTO POR EMPREGADO HORISTA DIURNO</t>
  </si>
  <si>
    <t>Intervalo para Repouso ou Alimentação - EMPREGADO HORISTA</t>
  </si>
  <si>
    <r>
      <t>OBJETO: Serviços de vigilância armada, ostensiva, orgânica, preventiva, diurna e noturna, de forma contínua, mediante o fornecimento de mão de obra, com pessoal treinado e qualificado, devidamente uniformizado e identificado com o uso de crachá , incluindo equipamentos e materiais sob sua inteira responsabilidade, de acordo com as condições, especificações e quantitativos mínimos contidos neste Termo, para proteção e guarda dos bens móveis e imóveis, fiscalização, controle do acesso de pessoas, veículos e bens materiais e realização de rondas nas áreas internas, externas e adjacentes  para S</t>
    </r>
    <r>
      <rPr>
        <b/>
        <sz val="11"/>
        <rFont val="Calibri"/>
        <family val="2"/>
        <scheme val="minor"/>
      </rPr>
      <t>ECRETARIA EXECUTIVA REGIONAL-SER X</t>
    </r>
    <r>
      <rPr>
        <sz val="11"/>
        <rFont val="Calibri"/>
        <family val="2"/>
        <scheme val="minor"/>
      </rPr>
      <t xml:space="preserve">,  no município de </t>
    </r>
    <r>
      <rPr>
        <b/>
        <sz val="11"/>
        <rFont val="Calibri"/>
        <family val="2"/>
        <scheme val="minor"/>
      </rPr>
      <t>Guajará-Mirim/RO.</t>
    </r>
  </si>
  <si>
    <r>
      <t xml:space="preserve">OBJETO: Serviços de vigilância armada, ostensiva, orgânica, preventiva, diurna e noturna, de forma contínua, mediante o fornecimento de mão de obra, com pessoal treinado e qualificado, devidamente uniformizado e identificado com o uso de crachá , incluindo equipamentos e materiais sob sua inteira responsabilidade, de acordo com as condições, especificações e quantitativos mínimos contidos neste Termo, para proteção e guarda dos bens móveis e imóveis, fiscalização, controle do acesso de pessoas, veículos e bens materiais e realização de rondas nas áreas internas, externas e adjacentes  para </t>
    </r>
    <r>
      <rPr>
        <b/>
        <sz val="11"/>
        <rFont val="Calibri"/>
        <family val="2"/>
        <scheme val="minor"/>
      </rPr>
      <t xml:space="preserve">SECRETARIA EXECUTIVA REGIONAL-SER VI, </t>
    </r>
    <r>
      <rPr>
        <sz val="11"/>
        <rFont val="Calibri"/>
        <family val="2"/>
        <scheme val="minor"/>
      </rPr>
      <t xml:space="preserve"> no </t>
    </r>
    <r>
      <rPr>
        <b/>
        <sz val="11"/>
        <rFont val="Calibri"/>
        <family val="2"/>
        <scheme val="minor"/>
      </rPr>
      <t>município de Cacoal/RO.</t>
    </r>
  </si>
  <si>
    <r>
      <t xml:space="preserve">OBJETO: Serviços de vigilância armada, ostensiva, orgânica, preventiva, diurna e noturna, de forma contínua, mediante o fornecimento de mão de obra, com pessoal treinado e qualificado, devidamente uniformizado e identificado com o uso de crachá , incluindo equipamentos e materiais sob sua inteira responsabilidade, de acordo com as condições, especificações e quantitativos mínimos contidos neste Termo, para proteção e guarda dos bens móveis e imóveis, fiscalização, controle do acesso de pessoas, veículos e bens materiais e realização de rondas nas áreas internas, externas e adjacentes  para a  </t>
    </r>
    <r>
      <rPr>
        <b/>
        <sz val="11"/>
        <rFont val="Calibri"/>
        <family val="2"/>
        <scheme val="minor"/>
      </rPr>
      <t>SECRETARIA EXECUTIVA REGIONAL-SER IV</t>
    </r>
    <r>
      <rPr>
        <sz val="11"/>
        <rFont val="Calibri"/>
        <family val="2"/>
        <scheme val="minor"/>
      </rPr>
      <t xml:space="preserve">,  no </t>
    </r>
    <r>
      <rPr>
        <b/>
        <sz val="11"/>
        <rFont val="Calibri"/>
        <family val="2"/>
        <scheme val="minor"/>
      </rPr>
      <t>município de Ouro Preto do Oeste/RO.</t>
    </r>
  </si>
  <si>
    <r>
      <t>OBJETO: Serviços de vigilância armada, ostensiva, orgânica, preventiva, diurna e noturna, de forma contínua, mediante o fornecimento de mão de obra, com pessoal treinado e qualificado, devidamente uniformizado e identificado com o uso de crachá , incluindo equipamentos e materiais sob sua inteira responsabilidade, de acordo com as condições, especificações e quantitativos mínimos contidos neste Termo, para proteção e guarda dos bens móveis e imóveis, fiscalização, controle do acesso de pessoas, veículos e bens materiais e realização de rondas nas áreas internas, externas e adjacentes  para a Unidade de Atendimento ao Cidadão-</t>
    </r>
    <r>
      <rPr>
        <b/>
        <sz val="11"/>
        <rFont val="Calibri"/>
        <family val="2"/>
        <scheme val="minor"/>
      </rPr>
      <t>TUDO AQUI ROLIM DE MOURA</t>
    </r>
    <r>
      <rPr>
        <sz val="11"/>
        <rFont val="Calibri"/>
        <family val="2"/>
        <scheme val="minor"/>
      </rPr>
      <t xml:space="preserve"> no município de </t>
    </r>
    <r>
      <rPr>
        <b/>
        <sz val="11"/>
        <rFont val="Calibri"/>
        <family val="2"/>
        <scheme val="minor"/>
      </rPr>
      <t>Rolim de Moura/RO.</t>
    </r>
  </si>
  <si>
    <r>
      <t>OBJETO: Serviços de vigilância armada, ostensiva, orgânica, preventiva, diurna e noturna, de forma contínua, mediante o fornecimento de mão de obra, com pessoal treinado e qualificado, devidamente uniformizado e identificado com o uso de crachá , incluindo equipamentos e materiais sob sua inteira responsabilidade, de acordo com as condições, especificações e quantitativos mínimos contidos neste Termo, para proteção e guarda dos bens móveis e imóveis, fiscalização, controle do acesso de pessoas, veículos e bens materiais e realização de rondas nas áreas internas, externas e adjacentes  para a Unidade de Atendimento ao Cidadão-</t>
    </r>
    <r>
      <rPr>
        <b/>
        <sz val="11"/>
        <rFont val="Calibri"/>
        <family val="2"/>
        <scheme val="minor"/>
      </rPr>
      <t xml:space="preserve">TUDO AQUI JI-PARANÁ </t>
    </r>
    <r>
      <rPr>
        <sz val="11"/>
        <rFont val="Calibri"/>
        <family val="2"/>
        <scheme val="minor"/>
      </rPr>
      <t>no município de</t>
    </r>
    <r>
      <rPr>
        <b/>
        <sz val="11"/>
        <rFont val="Calibri"/>
        <family val="2"/>
        <scheme val="minor"/>
      </rPr>
      <t xml:space="preserve"> Ji-Paraná/RO.</t>
    </r>
  </si>
  <si>
    <r>
      <t>OBJETO: Serviços de vigilância armada, ostensiva, orgânica, preventiva, diurna e noturna, de forma contínua, mediante o fornecimento de mão de obra, com pessoal treinado e qualificado, devidamente uniformizado e identificado com o uso de crachá , incluindo equipamentos e materiais sob sua inteira responsabilidade, de acordo com as condições, especificações e quantitativos mínimos contidos neste Termo, para proteção e guarda dos bens móveis e imóveis, fiscalização, controle do acesso de pessoas, veículos e bens materiais e realização de rondas nas áreas internas, externas e adjacentes  para a Unidade de Atendimento ao Cidadão-</t>
    </r>
    <r>
      <rPr>
        <b/>
        <sz val="11"/>
        <rFont val="Calibri"/>
        <family val="2"/>
        <scheme val="minor"/>
      </rPr>
      <t xml:space="preserve">TUDO AQUI ARIQUEMES </t>
    </r>
    <r>
      <rPr>
        <sz val="11"/>
        <rFont val="Calibri"/>
        <family val="2"/>
        <scheme val="minor"/>
      </rPr>
      <t xml:space="preserve">no município de </t>
    </r>
    <r>
      <rPr>
        <b/>
        <sz val="11"/>
        <rFont val="Calibri"/>
        <family val="2"/>
        <scheme val="minor"/>
      </rPr>
      <t>Ariquemes/RO.</t>
    </r>
  </si>
  <si>
    <t>Subtotal (A + B +C+ D+E)</t>
  </si>
  <si>
    <t>Subtotal (A + B +C+ D+ E)</t>
  </si>
  <si>
    <t>JULHO/2024</t>
  </si>
  <si>
    <t>1 CASSETETE por Posto de Trabalho
(será considerado para efeito de quantitativo do equipamenbto posto Diurno e Noturno como sendo ''1 Posto'')</t>
  </si>
  <si>
    <t>1 Livro por Posto de Trabalho
(será considerado para efeito de quantitativo do material no posto Diurno e Noturno como sendo ''1 Posto'')</t>
  </si>
  <si>
    <t>1 CASSETETE por Posto de Trabalho
(será considerado para efeito de quantitativo do equipamento posto Diurno  como sendo ''1 Posto'')</t>
  </si>
  <si>
    <t>1 Arma por Posto de Trabalho
(será considerado para efeito de quantitativo de Arma o posto Diurno como sendo ''1 Posto'')</t>
  </si>
  <si>
    <t>1 Colete (protetor basilistico) por Posto de Trabalho
(será considerado para efeito de quantitativo de colete o posto Diurno como sendo ''1 Posto'')</t>
  </si>
  <si>
    <t>1 Arma por Posto de Trabalho
(será considerado para efeito de quantitativo da Arma o posto Diurno e Noturno como sendo ''1 Posto'')</t>
  </si>
  <si>
    <t>OBS. Alguns materiais e equipamentos foram considerados  1 (um) por Posto, compartilhado entre os turnos e jornada 12x36 . Dessa forma foi feita a divisão do valor do custo mensal para o total de vigilantes. Valor do material e Equipo. / pela vida útil = valor por vigilante / pelo total de vigilantes.</t>
  </si>
  <si>
    <t>OBS. Alguns materiais e equipamentos foram considerados 1 (um) por Posto, compartilhado entre os turnos e jornada 12x36 . Dessa forma foi feita a divisão do valor do custo mensal para o total de vigilantes. Valor do material e Equipo. / pela vida útil = valor por vigilante / pelo total de vigilantes.</t>
  </si>
  <si>
    <r>
      <rPr>
        <b/>
        <sz val="10"/>
        <rFont val="Calibri"/>
        <family val="2"/>
        <scheme val="minor"/>
      </rPr>
      <t xml:space="preserve">POSTO TIPO 3 </t>
    </r>
    <r>
      <rPr>
        <sz val="10"/>
        <rFont val="Calibri"/>
        <family val="2"/>
        <scheme val="minor"/>
      </rPr>
      <t xml:space="preserve">- SERVIÇO DE VIGILÂNCIA -  </t>
    </r>
    <r>
      <rPr>
        <b/>
        <sz val="10"/>
        <rFont val="Calibri"/>
        <family val="2"/>
        <scheme val="minor"/>
      </rPr>
      <t>DIURNO (ARMADO) SEG. A DOM.</t>
    </r>
    <r>
      <rPr>
        <sz val="10"/>
        <rFont val="Calibri"/>
        <family val="2"/>
        <scheme val="minor"/>
      </rPr>
      <t xml:space="preserve"> 12X36 -</t>
    </r>
    <r>
      <rPr>
        <b/>
        <sz val="10"/>
        <rFont val="Calibri"/>
        <family val="2"/>
        <scheme val="minor"/>
      </rPr>
      <t xml:space="preserve"> LOTE I</t>
    </r>
  </si>
  <si>
    <r>
      <rPr>
        <b/>
        <sz val="10"/>
        <rFont val="Calibri"/>
        <family val="2"/>
        <scheme val="minor"/>
      </rPr>
      <t xml:space="preserve">POSTO TIPO 4 </t>
    </r>
    <r>
      <rPr>
        <sz val="10"/>
        <rFont val="Calibri"/>
        <family val="2"/>
        <scheme val="minor"/>
      </rPr>
      <t xml:space="preserve">- SERVIÇO DE VIGILÂNCIA - </t>
    </r>
    <r>
      <rPr>
        <b/>
        <sz val="10"/>
        <rFont val="Calibri"/>
        <family val="2"/>
        <scheme val="minor"/>
      </rPr>
      <t>NOTURNO (ARMADO) SEG. A DOM. 12X36</t>
    </r>
    <r>
      <rPr>
        <sz val="10"/>
        <rFont val="Calibri"/>
        <family val="2"/>
        <scheme val="minor"/>
      </rPr>
      <t xml:space="preserve"> - </t>
    </r>
    <r>
      <rPr>
        <b/>
        <sz val="10"/>
        <rFont val="Calibri"/>
        <family val="2"/>
        <scheme val="minor"/>
      </rPr>
      <t>LOTE I</t>
    </r>
  </si>
  <si>
    <t>VIGILANTE -</t>
  </si>
  <si>
    <r>
      <rPr>
        <b/>
        <sz val="10"/>
        <rFont val="Calibri"/>
        <family val="2"/>
        <scheme val="minor"/>
      </rPr>
      <t xml:space="preserve">POSTO TIPO 2 </t>
    </r>
    <r>
      <rPr>
        <sz val="10"/>
        <rFont val="Calibri"/>
        <family val="2"/>
        <scheme val="minor"/>
      </rPr>
      <t xml:space="preserve">- SERVIÇO DE VIGILÂNCIA -  </t>
    </r>
    <r>
      <rPr>
        <b/>
        <sz val="10"/>
        <rFont val="Calibri"/>
        <family val="2"/>
        <scheme val="minor"/>
      </rPr>
      <t>DIURNO (ARMADO) SEG. À SEXTA FEIRA</t>
    </r>
    <r>
      <rPr>
        <sz val="10"/>
        <rFont val="Calibri"/>
        <family val="2"/>
        <scheme val="minor"/>
      </rPr>
      <t xml:space="preserve"> . 12X36 - </t>
    </r>
    <r>
      <rPr>
        <b/>
        <sz val="10"/>
        <rFont val="Calibri"/>
        <family val="2"/>
        <scheme val="minor"/>
      </rPr>
      <t>LOTE I - MOTORIZADO</t>
    </r>
  </si>
  <si>
    <r>
      <rPr>
        <b/>
        <sz val="10"/>
        <rFont val="Calibri"/>
        <family val="2"/>
        <scheme val="minor"/>
      </rPr>
      <t>POSTO TIPO 1</t>
    </r>
    <r>
      <rPr>
        <sz val="10"/>
        <rFont val="Calibri"/>
        <family val="2"/>
        <scheme val="minor"/>
      </rPr>
      <t xml:space="preserve"> - SERVIÇO DE VIGILÂNCIA -  </t>
    </r>
    <r>
      <rPr>
        <b/>
        <sz val="10"/>
        <rFont val="Calibri"/>
        <family val="2"/>
        <scheme val="minor"/>
      </rPr>
      <t>DIURNO (DESARMADO) SEG. À SEXTA FEIRA</t>
    </r>
    <r>
      <rPr>
        <sz val="10"/>
        <rFont val="Calibri"/>
        <family val="2"/>
        <scheme val="minor"/>
      </rPr>
      <t xml:space="preserve"> . 12X36 - </t>
    </r>
    <r>
      <rPr>
        <b/>
        <sz val="10"/>
        <rFont val="Calibri"/>
        <family val="2"/>
        <scheme val="minor"/>
      </rPr>
      <t xml:space="preserve">LOTE I </t>
    </r>
  </si>
  <si>
    <r>
      <t xml:space="preserve">Serviços de Vigilância/ Segurança Patrimonial </t>
    </r>
    <r>
      <rPr>
        <b/>
        <sz val="11"/>
        <color theme="1"/>
        <rFont val="Calibri"/>
        <family val="2"/>
        <scheme val="minor"/>
      </rPr>
      <t>Armada - MOTORIZADO</t>
    </r>
  </si>
  <si>
    <t>Intervalo para Repouso ou Alimentação - 
 Submódulo 4.2 - Intrajornada
A Intervalo para Repouso ou Alimentação
B Incidência dos Encargos Previdenciários sobre Indenização por Intrajornada - (Solução consulta COSIT N° 99009 DE 14/08/2023)</t>
  </si>
  <si>
    <t>Quantidade</t>
  </si>
  <si>
    <t>Combustível - Consumo urbano -média de 40 km/L de Gasolina. Km rodados por dia - média de 20km - 22 dias de trabalho - Posto de segunda a sexta 12x36 - 440 km/mês</t>
  </si>
  <si>
    <t>Valor mensal</t>
  </si>
  <si>
    <t>Quantidade litros de combustível</t>
  </si>
  <si>
    <t>Outros materiais de consumo(combustível)</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</si>
</sst>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R$&quot;\ * #,##0.00_-;\-&quot;R$&quot;\ * #,##0.00_-;_-&quot;R$&quot;\ * &quot;-&quot;??_-;_-@_-"/>
    <numFmt numFmtId="43" formatCode="_-* #,##0.00_-;\-* #,##0.00_-;_-* &quot;-&quot;??_-;_-@_-"/>
    <numFmt numFmtId="164" formatCode="0.000%"/>
    <numFmt numFmtId="165" formatCode="_(&quot;R$ &quot;* #,##0.00_);_(&quot;R$ &quot;* \(#,##0.00\);_(&quot;R$ &quot;* &quot;-&quot;??_);_(@_)"/>
    <numFmt numFmtId="166" formatCode="&quot;R$&quot;\ #,##0.00"/>
    <numFmt numFmtId="167" formatCode="[$R$ -416]#,##0.00"/>
    <numFmt numFmtId="168" formatCode="&quot;R$&quot;\ #,##0.000"/>
    <numFmt numFmtId="169" formatCode="0.000"/>
    <numFmt numFmtId="170" formatCode="_-* #,##0_-;\-* #,##0_-;_-* &quot;-&quot;??_-;_-@_-"/>
  </numFmts>
  <fonts count="46"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u/>
      <sz val="10"/>
      <color indexed="12"/>
      <name val="Arial"/>
      <family val="2"/>
    </font>
    <font>
      <b/>
      <sz val="8"/>
      <color rgb="FF000000"/>
      <name val="Verdana"/>
      <family val="2"/>
    </font>
    <font>
      <b/>
      <sz val="16"/>
      <color rgb="FF002060"/>
      <name val="Calibri"/>
      <family val="2"/>
      <scheme val="minor"/>
    </font>
    <font>
      <sz val="14"/>
      <color theme="1"/>
      <name val="Calibri"/>
      <family val="2"/>
      <scheme val="minor"/>
    </font>
    <font>
      <sz val="8"/>
      <color rgb="FF000000"/>
      <name val="Verdana"/>
      <family val="2"/>
    </font>
    <font>
      <b/>
      <sz val="8"/>
      <color rgb="FFFF0000"/>
      <name val="Verdana"/>
      <family val="2"/>
    </font>
    <font>
      <sz val="14"/>
      <color rgb="FF000000"/>
      <name val="Times New Roman"/>
      <family val="1"/>
    </font>
    <font>
      <sz val="10"/>
      <color rgb="FF000000"/>
      <name val="Verdana"/>
      <family val="2"/>
    </font>
    <font>
      <b/>
      <sz val="14"/>
      <color rgb="FF000000"/>
      <name val="Calibri"/>
      <family val="2"/>
      <scheme val="minor"/>
    </font>
    <font>
      <sz val="14"/>
      <color rgb="FF000000"/>
      <name val="Calibri"/>
      <family val="2"/>
      <scheme val="minor"/>
    </font>
    <font>
      <b/>
      <u/>
      <sz val="14"/>
      <color rgb="FF000000"/>
      <name val="Calibri"/>
      <family val="2"/>
      <scheme val="minor"/>
    </font>
    <font>
      <b/>
      <sz val="14"/>
      <color rgb="FF000000"/>
      <name val="Times New Roman"/>
      <family val="1"/>
    </font>
    <font>
      <b/>
      <sz val="14"/>
      <color indexed="10"/>
      <name val="Arial"/>
      <family val="2"/>
    </font>
    <font>
      <b/>
      <sz val="14"/>
      <color indexed="48"/>
      <name val="Trebuchet MS"/>
      <family val="2"/>
    </font>
    <font>
      <b/>
      <sz val="14"/>
      <color indexed="10"/>
      <name val="Trebuchet MS"/>
      <family val="2"/>
    </font>
    <font>
      <b/>
      <sz val="16"/>
      <name val="Calibri"/>
      <family val="2"/>
      <scheme val="minor"/>
    </font>
    <font>
      <sz val="12"/>
      <color theme="1"/>
      <name val="Calibri"/>
      <family val="2"/>
      <scheme val="minor"/>
    </font>
    <font>
      <b/>
      <sz val="12"/>
      <color theme="1"/>
      <name val="Calibri"/>
      <family val="2"/>
      <scheme val="minor"/>
    </font>
    <font>
      <b/>
      <sz val="16"/>
      <color theme="1"/>
      <name val="Calibri"/>
      <family val="2"/>
      <scheme val="minor"/>
    </font>
    <font>
      <sz val="11"/>
      <name val="Times New Roman"/>
      <family val="1"/>
    </font>
    <font>
      <b/>
      <sz val="10"/>
      <name val="Calibri"/>
      <family val="2"/>
      <scheme val="minor"/>
    </font>
    <font>
      <sz val="10"/>
      <name val="Calibri"/>
      <family val="2"/>
      <scheme val="minor"/>
    </font>
    <font>
      <strike/>
      <sz val="10"/>
      <name val="Calibri"/>
      <family val="2"/>
      <scheme val="minor"/>
    </font>
    <font>
      <b/>
      <sz val="10"/>
      <color rgb="FFFF0000"/>
      <name val="Calibri"/>
      <family val="2"/>
      <scheme val="minor"/>
    </font>
    <font>
      <b/>
      <sz val="14"/>
      <color theme="1"/>
      <name val="Calibri"/>
      <family val="2"/>
      <scheme val="minor"/>
    </font>
    <font>
      <b/>
      <sz val="10"/>
      <color theme="1"/>
      <name val="Calibri"/>
      <family val="2"/>
    </font>
    <font>
      <sz val="11"/>
      <name val="Calibri"/>
      <family val="2"/>
    </font>
    <font>
      <b/>
      <sz val="10"/>
      <color theme="1"/>
      <name val="Calibri"/>
      <family val="2"/>
      <scheme val="minor"/>
    </font>
    <font>
      <b/>
      <sz val="10"/>
      <color theme="1"/>
      <name val="Calibri"/>
      <family val="2"/>
    </font>
    <font>
      <sz val="10"/>
      <color theme="1"/>
      <name val="Calibri"/>
      <family val="2"/>
    </font>
    <font>
      <sz val="9"/>
      <color indexed="81"/>
      <name val="Segoe UI"/>
      <charset val="1"/>
    </font>
    <font>
      <b/>
      <sz val="9"/>
      <color indexed="81"/>
      <name val="Segoe UI"/>
      <charset val="1"/>
    </font>
    <font>
      <sz val="11"/>
      <color rgb="FF000000"/>
      <name val="Calibri"/>
      <family val="2"/>
      <scheme val="minor"/>
    </font>
    <font>
      <b/>
      <sz val="11"/>
      <color rgb="FF000000"/>
      <name val="Calibri"/>
      <family val="2"/>
      <scheme val="minor"/>
    </font>
    <font>
      <sz val="11"/>
      <name val="Calibri"/>
      <family val="2"/>
      <scheme val="minor"/>
    </font>
    <font>
      <b/>
      <sz val="11"/>
      <name val="Calibri Light"/>
      <family val="2"/>
      <scheme val="major"/>
    </font>
    <font>
      <b/>
      <sz val="11"/>
      <name val="Calibri"/>
      <family val="2"/>
      <scheme val="minor"/>
    </font>
    <font>
      <sz val="8"/>
      <color theme="1"/>
      <name val="Calibri"/>
      <family val="2"/>
      <scheme val="minor"/>
    </font>
    <font>
      <b/>
      <sz val="8"/>
      <color theme="1"/>
      <name val="Calibri"/>
      <family val="2"/>
      <scheme val="minor"/>
    </font>
    <font>
      <sz val="9"/>
      <name val="Calibri"/>
      <family val="2"/>
      <scheme val="minor"/>
    </font>
    <font>
      <sz val="10"/>
      <color theme="1"/>
      <name val="Calibri"/>
      <family val="2"/>
      <scheme val="minor"/>
    </font>
    <font>
      <sz val="10"/>
      <name val="Calibri"/>
      <family val="2"/>
      <charset val="1"/>
    </font>
  </fonts>
  <fills count="1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theme="0"/>
      </patternFill>
    </fill>
    <fill>
      <patternFill patternType="solid">
        <fgColor theme="5" tint="0.39997558519241921"/>
        <bgColor indexed="64"/>
      </patternFill>
    </fill>
    <fill>
      <patternFill patternType="solid">
        <fgColor theme="8" tint="0.39997558519241921"/>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2"/>
        <bgColor indexed="64"/>
      </patternFill>
    </fill>
    <fill>
      <patternFill patternType="solid">
        <fgColor rgb="FFFFFFFF"/>
        <bgColor rgb="FFFFFFCC"/>
      </patternFill>
    </fill>
    <fill>
      <patternFill patternType="solid">
        <fgColor theme="4" tint="0.39997558519241921"/>
        <bgColor indexed="64"/>
      </patternFill>
    </fill>
  </fills>
  <borders count="8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right/>
      <top style="medium">
        <color indexed="64"/>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style="thin">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rgb="FF000000"/>
      </right>
      <top/>
      <bottom style="thin">
        <color indexed="64"/>
      </bottom>
      <diagonal/>
    </border>
    <border>
      <left/>
      <right style="thin">
        <color rgb="FF000000"/>
      </right>
      <top style="thin">
        <color indexed="64"/>
      </top>
      <bottom style="thin">
        <color indexed="64"/>
      </bottom>
      <diagonal/>
    </border>
    <border>
      <left style="thin">
        <color indexed="64"/>
      </left>
      <right/>
      <top style="thin">
        <color indexed="64"/>
      </top>
      <bottom style="thin">
        <color rgb="FF000000"/>
      </bottom>
      <diagonal/>
    </border>
    <border>
      <left/>
      <right style="thin">
        <color rgb="FF000000"/>
      </right>
      <top style="thin">
        <color indexed="64"/>
      </top>
      <bottom style="thin">
        <color rgb="FF000000"/>
      </bottom>
      <diagonal/>
    </border>
    <border>
      <left/>
      <right style="thin">
        <color rgb="FF000000"/>
      </right>
      <top style="thin">
        <color indexed="64"/>
      </top>
      <bottom/>
      <diagonal/>
    </border>
    <border>
      <left/>
      <right style="thin">
        <color indexed="64"/>
      </right>
      <top style="medium">
        <color indexed="64"/>
      </top>
      <bottom style="medium">
        <color indexed="64"/>
      </bottom>
      <diagonal/>
    </border>
    <border>
      <left style="thin">
        <color rgb="FF000000"/>
      </left>
      <right style="thin">
        <color rgb="FF000000"/>
      </right>
      <top style="thin">
        <color rgb="FF000000"/>
      </top>
      <bottom style="thin">
        <color indexed="64"/>
      </bottom>
      <diagonal/>
    </border>
    <border>
      <left style="thin">
        <color rgb="FF000000"/>
      </left>
      <right/>
      <top style="thin">
        <color rgb="FF000000"/>
      </top>
      <bottom/>
      <diagonal/>
    </border>
    <border>
      <left/>
      <right/>
      <top/>
      <bottom style="medium">
        <color indexed="64"/>
      </bottom>
      <diagonal/>
    </border>
    <border>
      <left/>
      <right style="thin">
        <color rgb="FF000000"/>
      </right>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rgb="FF000000"/>
      </right>
      <top/>
      <bottom style="thin">
        <color rgb="FF000000"/>
      </bottom>
      <diagonal/>
    </border>
    <border>
      <left style="thin">
        <color rgb="FF000000"/>
      </left>
      <right style="medium">
        <color indexed="64"/>
      </right>
      <top/>
      <bottom style="thin">
        <color rgb="FF000000"/>
      </bottom>
      <diagonal/>
    </border>
    <border>
      <left style="medium">
        <color indexed="64"/>
      </left>
      <right style="thin">
        <color rgb="FF000000"/>
      </right>
      <top style="thin">
        <color rgb="FF000000"/>
      </top>
      <bottom/>
      <diagonal/>
    </border>
    <border>
      <left style="thin">
        <color rgb="FF000000"/>
      </left>
      <right style="medium">
        <color indexed="64"/>
      </right>
      <top style="thin">
        <color rgb="FF000000"/>
      </top>
      <bottom/>
      <diagonal/>
    </border>
    <border>
      <left style="medium">
        <color indexed="64"/>
      </left>
      <right style="thin">
        <color rgb="FF000000"/>
      </right>
      <top/>
      <bottom/>
      <diagonal/>
    </border>
    <border>
      <left style="medium">
        <color indexed="64"/>
      </left>
      <right style="thin">
        <color rgb="FF000000"/>
      </right>
      <top/>
      <bottom style="thin">
        <color indexed="64"/>
      </bottom>
      <diagonal/>
    </border>
    <border>
      <left style="thin">
        <color indexed="64"/>
      </left>
      <right/>
      <top style="medium">
        <color indexed="64"/>
      </top>
      <bottom style="medium">
        <color indexed="64"/>
      </bottom>
      <diagonal/>
    </border>
  </borders>
  <cellStyleXfs count="9">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xf numFmtId="0" fontId="3" fillId="0" borderId="0"/>
    <xf numFmtId="0" fontId="1" fillId="0" borderId="0"/>
    <xf numFmtId="0" fontId="4" fillId="0" borderId="0" applyNumberFormat="0" applyFill="0" applyBorder="0" applyAlignment="0" applyProtection="0">
      <alignment vertical="top"/>
      <protection locked="0"/>
    </xf>
    <xf numFmtId="43" fontId="1" fillId="0" borderId="0" applyFont="0" applyFill="0" applyBorder="0" applyAlignment="0" applyProtection="0"/>
    <xf numFmtId="9" fontId="3" fillId="0" borderId="0" applyFont="0" applyFill="0" applyBorder="0" applyAlignment="0" applyProtection="0"/>
  </cellStyleXfs>
  <cellXfs count="541">
    <xf numFmtId="0" fontId="0" fillId="0" borderId="0" xfId="0"/>
    <xf numFmtId="0" fontId="5" fillId="2" borderId="14" xfId="0" applyFont="1" applyFill="1" applyBorder="1" applyAlignment="1">
      <alignment wrapText="1"/>
    </xf>
    <xf numFmtId="0" fontId="5" fillId="2" borderId="15" xfId="0" applyFont="1" applyFill="1" applyBorder="1" applyAlignment="1">
      <alignment horizontal="center" wrapText="1"/>
    </xf>
    <xf numFmtId="0" fontId="7" fillId="0" borderId="0" xfId="0" applyFont="1" applyAlignment="1">
      <alignment horizontal="justify"/>
    </xf>
    <xf numFmtId="0" fontId="8" fillId="2" borderId="15" xfId="0" applyFont="1" applyFill="1" applyBorder="1" applyAlignment="1">
      <alignment horizontal="justify" wrapText="1"/>
    </xf>
    <xf numFmtId="0" fontId="10" fillId="0" borderId="0" xfId="0" applyFont="1" applyAlignment="1">
      <alignment horizontal="justify" wrapText="1"/>
    </xf>
    <xf numFmtId="0" fontId="11" fillId="2" borderId="15" xfId="0" applyFont="1" applyFill="1" applyBorder="1" applyAlignment="1">
      <alignment horizontal="center" wrapText="1"/>
    </xf>
    <xf numFmtId="0" fontId="8" fillId="2" borderId="15" xfId="0" applyFont="1" applyFill="1" applyBorder="1" applyAlignment="1">
      <alignment horizontal="center" wrapText="1"/>
    </xf>
    <xf numFmtId="0" fontId="0" fillId="0" borderId="14" xfId="0" applyBorder="1" applyAlignment="1">
      <alignment horizontal="center"/>
    </xf>
    <xf numFmtId="0" fontId="0" fillId="0" borderId="16" xfId="0" applyBorder="1" applyAlignment="1">
      <alignment horizontal="center"/>
    </xf>
    <xf numFmtId="0" fontId="0" fillId="0" borderId="14" xfId="0" applyBorder="1"/>
    <xf numFmtId="0" fontId="8" fillId="2" borderId="16" xfId="0" applyFont="1" applyFill="1" applyBorder="1" applyAlignment="1">
      <alignment horizontal="center" wrapText="1"/>
    </xf>
    <xf numFmtId="0" fontId="0" fillId="0" borderId="15" xfId="0" applyBorder="1"/>
    <xf numFmtId="0" fontId="0" fillId="0" borderId="15" xfId="0" applyBorder="1" applyAlignment="1">
      <alignment horizontal="center"/>
    </xf>
    <xf numFmtId="0" fontId="0" fillId="3" borderId="15" xfId="0" applyFill="1" applyBorder="1"/>
    <xf numFmtId="0" fontId="0" fillId="3" borderId="15" xfId="0" applyFill="1" applyBorder="1" applyAlignment="1">
      <alignment horizontal="center"/>
    </xf>
    <xf numFmtId="0" fontId="0" fillId="0" borderId="16" xfId="0" applyBorder="1"/>
    <xf numFmtId="0" fontId="4" fillId="0" borderId="0" xfId="6" applyAlignment="1" applyProtection="1"/>
    <xf numFmtId="0" fontId="15" fillId="0" borderId="0" xfId="0" applyFont="1" applyAlignment="1">
      <alignment horizontal="center" wrapText="1"/>
    </xf>
    <xf numFmtId="0" fontId="2" fillId="0" borderId="0" xfId="0" applyFont="1"/>
    <xf numFmtId="0" fontId="7" fillId="0" borderId="0" xfId="0" applyFont="1"/>
    <xf numFmtId="0" fontId="17" fillId="0" borderId="17" xfId="0" applyFont="1" applyBorder="1" applyAlignment="1">
      <alignment horizontal="center" vertical="center" wrapText="1"/>
    </xf>
    <xf numFmtId="0" fontId="18" fillId="0" borderId="18" xfId="0" applyFont="1" applyBorder="1" applyAlignment="1">
      <alignment horizontal="justify" vertical="center" wrapText="1"/>
    </xf>
    <xf numFmtId="0" fontId="18" fillId="0" borderId="19" xfId="0" applyFont="1" applyBorder="1" applyAlignment="1">
      <alignment horizontal="justify" vertical="center" wrapText="1"/>
    </xf>
    <xf numFmtId="0" fontId="18" fillId="0" borderId="13" xfId="0" applyFont="1" applyBorder="1" applyAlignment="1">
      <alignment horizontal="justify" vertical="center" wrapText="1"/>
    </xf>
    <xf numFmtId="0" fontId="18" fillId="0" borderId="12" xfId="0" applyFont="1" applyBorder="1" applyAlignment="1">
      <alignment horizontal="justify" vertical="center" wrapText="1"/>
    </xf>
    <xf numFmtId="0" fontId="18" fillId="0" borderId="20" xfId="0" applyFont="1" applyBorder="1" applyAlignment="1">
      <alignment horizontal="justify" vertical="center" wrapText="1"/>
    </xf>
    <xf numFmtId="0" fontId="18" fillId="0" borderId="21" xfId="0" applyFont="1" applyBorder="1" applyAlignment="1">
      <alignment horizontal="justify" vertical="center" wrapText="1"/>
    </xf>
    <xf numFmtId="0" fontId="20" fillId="0" borderId="0" xfId="0" applyFont="1" applyAlignment="1">
      <alignment vertical="center"/>
    </xf>
    <xf numFmtId="0" fontId="20" fillId="0" borderId="0" xfId="0" applyFont="1" applyAlignment="1">
      <alignment horizontal="center" vertical="center"/>
    </xf>
    <xf numFmtId="0" fontId="20" fillId="0" borderId="0" xfId="0" applyFont="1" applyAlignment="1">
      <alignment horizontal="left" vertical="center"/>
    </xf>
    <xf numFmtId="43" fontId="20" fillId="0" borderId="0" xfId="7" applyFont="1" applyAlignment="1">
      <alignment horizontal="right" vertical="center"/>
    </xf>
    <xf numFmtId="43" fontId="20" fillId="0" borderId="0" xfId="7" applyFont="1" applyAlignment="1">
      <alignment vertical="center"/>
    </xf>
    <xf numFmtId="0" fontId="21" fillId="0" borderId="4" xfId="0" applyFont="1" applyBorder="1" applyAlignment="1">
      <alignment horizontal="left" vertical="center"/>
    </xf>
    <xf numFmtId="0" fontId="20" fillId="0" borderId="4" xfId="0" applyFont="1" applyBorder="1" applyAlignment="1">
      <alignment horizontal="center" vertical="center"/>
    </xf>
    <xf numFmtId="0" fontId="23" fillId="2" borderId="4" xfId="0" applyFont="1" applyFill="1" applyBorder="1" applyAlignment="1">
      <alignment horizontal="center" vertical="center"/>
    </xf>
    <xf numFmtId="166" fontId="20" fillId="0" borderId="0" xfId="7" applyNumberFormat="1" applyFont="1" applyBorder="1" applyAlignment="1">
      <alignment horizontal="center" vertical="center"/>
    </xf>
    <xf numFmtId="0" fontId="25" fillId="2" borderId="26" xfId="0" applyFont="1" applyFill="1" applyBorder="1" applyAlignment="1">
      <alignment horizontal="center" vertical="center"/>
    </xf>
    <xf numFmtId="0" fontId="25" fillId="2" borderId="4" xfId="3" applyFont="1" applyFill="1" applyBorder="1" applyAlignment="1">
      <alignment horizontal="right" vertical="center" wrapText="1"/>
    </xf>
    <xf numFmtId="4" fontId="24" fillId="2" borderId="24" xfId="5" applyNumberFormat="1" applyFont="1" applyFill="1" applyBorder="1" applyAlignment="1">
      <alignment horizontal="center" vertical="center" wrapText="1"/>
    </xf>
    <xf numFmtId="0" fontId="25" fillId="2" borderId="4" xfId="4" applyFont="1" applyFill="1" applyBorder="1" applyAlignment="1">
      <alignment horizontal="justify" vertical="top" wrapText="1"/>
    </xf>
    <xf numFmtId="0" fontId="25" fillId="2" borderId="4" xfId="4" applyFont="1" applyFill="1" applyBorder="1" applyAlignment="1">
      <alignment horizontal="justify" vertical="center" wrapText="1"/>
    </xf>
    <xf numFmtId="4" fontId="24" fillId="2" borderId="1" xfId="2" applyNumberFormat="1" applyFont="1" applyFill="1" applyBorder="1" applyAlignment="1">
      <alignment vertical="center"/>
    </xf>
    <xf numFmtId="4" fontId="24" fillId="2" borderId="2" xfId="2" applyNumberFormat="1" applyFont="1" applyFill="1" applyBorder="1" applyAlignment="1">
      <alignment vertical="center"/>
    </xf>
    <xf numFmtId="44" fontId="24" fillId="2" borderId="25" xfId="1" applyFont="1" applyFill="1" applyBorder="1" applyAlignment="1">
      <alignment horizontal="right" vertical="center" wrapText="1"/>
    </xf>
    <xf numFmtId="0" fontId="25" fillId="2" borderId="4" xfId="0" applyFont="1" applyFill="1" applyBorder="1" applyAlignment="1">
      <alignment horizontal="justify" vertical="center"/>
    </xf>
    <xf numFmtId="4" fontId="24" fillId="2" borderId="24" xfId="0" applyNumberFormat="1" applyFont="1" applyFill="1" applyBorder="1" applyAlignment="1">
      <alignment vertical="center"/>
    </xf>
    <xf numFmtId="4" fontId="24" fillId="2" borderId="24" xfId="5" applyNumberFormat="1" applyFont="1" applyFill="1" applyBorder="1" applyAlignment="1">
      <alignment vertical="center" wrapText="1"/>
    </xf>
    <xf numFmtId="0" fontId="25" fillId="2" borderId="26" xfId="0" applyFont="1" applyFill="1" applyBorder="1" applyAlignment="1">
      <alignment horizontal="center" vertical="center" wrapText="1"/>
    </xf>
    <xf numFmtId="0" fontId="25" fillId="2" borderId="4" xfId="0" applyFont="1" applyFill="1" applyBorder="1" applyAlignment="1">
      <alignment vertical="center"/>
    </xf>
    <xf numFmtId="4" fontId="24" fillId="2" borderId="24" xfId="0" applyNumberFormat="1" applyFont="1" applyFill="1" applyBorder="1" applyAlignment="1">
      <alignment horizontal="right" vertical="center"/>
    </xf>
    <xf numFmtId="4" fontId="24" fillId="2" borderId="24" xfId="0" quotePrefix="1" applyNumberFormat="1" applyFont="1" applyFill="1" applyBorder="1" applyAlignment="1">
      <alignment vertical="center"/>
    </xf>
    <xf numFmtId="0" fontId="25" fillId="2" borderId="4" xfId="0" applyFont="1" applyFill="1" applyBorder="1" applyAlignment="1">
      <alignment vertical="center" wrapText="1"/>
    </xf>
    <xf numFmtId="0" fontId="25" fillId="2" borderId="4" xfId="5" applyFont="1" applyFill="1" applyBorder="1" applyAlignment="1">
      <alignment vertical="center" wrapText="1"/>
    </xf>
    <xf numFmtId="4" fontId="24" fillId="6" borderId="24" xfId="0" applyNumberFormat="1" applyFont="1" applyFill="1" applyBorder="1" applyAlignment="1">
      <alignment vertical="center"/>
    </xf>
    <xf numFmtId="4" fontId="24" fillId="0" borderId="24" xfId="0" applyNumberFormat="1" applyFont="1" applyBorder="1" applyAlignment="1">
      <alignment vertical="center"/>
    </xf>
    <xf numFmtId="0" fontId="25" fillId="2" borderId="26" xfId="5" applyFont="1" applyFill="1" applyBorder="1" applyAlignment="1">
      <alignment horizontal="center" vertical="center" wrapText="1"/>
    </xf>
    <xf numFmtId="0" fontId="24" fillId="2" borderId="4" xfId="5" applyFont="1" applyFill="1" applyBorder="1" applyAlignment="1">
      <alignment vertical="center" wrapText="1"/>
    </xf>
    <xf numFmtId="10" fontId="24" fillId="2" borderId="4" xfId="2" applyNumberFormat="1" applyFont="1" applyFill="1" applyBorder="1" applyAlignment="1">
      <alignment vertical="center"/>
    </xf>
    <xf numFmtId="10" fontId="24" fillId="6" borderId="4" xfId="2" applyNumberFormat="1" applyFont="1" applyFill="1" applyBorder="1" applyAlignment="1">
      <alignment vertical="center"/>
    </xf>
    <xf numFmtId="0" fontId="24" fillId="2" borderId="4" xfId="0" applyFont="1" applyFill="1" applyBorder="1" applyAlignment="1">
      <alignment vertical="center"/>
    </xf>
    <xf numFmtId="0" fontId="24" fillId="2" borderId="4" xfId="0" applyFont="1" applyFill="1" applyBorder="1" applyAlignment="1">
      <alignment horizontal="justify" vertical="center"/>
    </xf>
    <xf numFmtId="0" fontId="24" fillId="2" borderId="0" xfId="0" applyFont="1" applyFill="1" applyAlignment="1">
      <alignment horizontal="justify" vertical="center"/>
    </xf>
    <xf numFmtId="0" fontId="25" fillId="0" borderId="26" xfId="5" applyFont="1" applyBorder="1" applyAlignment="1">
      <alignment horizontal="center" vertical="center" wrapText="1"/>
    </xf>
    <xf numFmtId="0" fontId="24" fillId="0" borderId="4" xfId="6" applyFont="1" applyFill="1" applyBorder="1" applyAlignment="1" applyProtection="1">
      <alignment horizontal="justify" vertical="center"/>
    </xf>
    <xf numFmtId="0" fontId="25" fillId="0" borderId="4" xfId="0" applyFont="1" applyBorder="1" applyAlignment="1">
      <alignment horizontal="justify" vertical="center"/>
    </xf>
    <xf numFmtId="10" fontId="24" fillId="0" borderId="4" xfId="2" applyNumberFormat="1" applyFont="1" applyFill="1" applyBorder="1" applyAlignment="1">
      <alignment vertical="center"/>
    </xf>
    <xf numFmtId="164" fontId="24" fillId="2" borderId="4" xfId="2" applyNumberFormat="1" applyFont="1" applyFill="1" applyBorder="1" applyAlignment="1">
      <alignment vertical="center"/>
    </xf>
    <xf numFmtId="164" fontId="24" fillId="6" borderId="4" xfId="2" applyNumberFormat="1" applyFont="1" applyFill="1" applyBorder="1" applyAlignment="1">
      <alignment vertical="center"/>
    </xf>
    <xf numFmtId="0" fontId="24" fillId="2" borderId="0" xfId="0" applyFont="1" applyFill="1" applyAlignment="1">
      <alignment vertical="center"/>
    </xf>
    <xf numFmtId="10" fontId="24" fillId="6" borderId="4" xfId="5" applyNumberFormat="1" applyFont="1" applyFill="1" applyBorder="1" applyAlignment="1">
      <alignment vertical="center" wrapText="1"/>
    </xf>
    <xf numFmtId="0" fontId="24" fillId="2" borderId="4" xfId="2" applyNumberFormat="1" applyFont="1" applyFill="1" applyBorder="1" applyAlignment="1">
      <alignment vertical="center"/>
    </xf>
    <xf numFmtId="0" fontId="25" fillId="2" borderId="1" xfId="5" applyFont="1" applyFill="1" applyBorder="1" applyAlignment="1">
      <alignment vertical="center" wrapText="1"/>
    </xf>
    <xf numFmtId="0" fontId="25" fillId="2" borderId="4" xfId="5" applyFont="1" applyFill="1" applyBorder="1" applyAlignment="1">
      <alignment vertical="center"/>
    </xf>
    <xf numFmtId="4" fontId="24" fillId="2" borderId="31" xfId="0" applyNumberFormat="1" applyFont="1" applyFill="1" applyBorder="1" applyAlignment="1">
      <alignment vertical="center"/>
    </xf>
    <xf numFmtId="0" fontId="0" fillId="0" borderId="38" xfId="0" applyBorder="1" applyAlignment="1">
      <alignment horizontal="center" vertical="center" wrapText="1"/>
    </xf>
    <xf numFmtId="0" fontId="0" fillId="0" borderId="38" xfId="0" applyBorder="1" applyAlignment="1">
      <alignment vertical="center" wrapText="1"/>
    </xf>
    <xf numFmtId="0" fontId="2" fillId="0" borderId="41" xfId="0" applyFont="1" applyBorder="1" applyAlignment="1">
      <alignment horizontal="center" vertical="center" wrapText="1"/>
    </xf>
    <xf numFmtId="166" fontId="0" fillId="0" borderId="42" xfId="0" applyNumberFormat="1" applyBorder="1" applyAlignment="1">
      <alignment vertical="center" wrapText="1"/>
    </xf>
    <xf numFmtId="166" fontId="28" fillId="0" borderId="4" xfId="0" applyNumberFormat="1" applyFont="1" applyBorder="1" applyAlignment="1">
      <alignment vertical="center" wrapText="1"/>
    </xf>
    <xf numFmtId="0" fontId="24" fillId="2" borderId="26" xfId="5" applyFont="1" applyFill="1" applyBorder="1" applyAlignment="1">
      <alignment horizontal="center" vertical="center" wrapText="1"/>
    </xf>
    <xf numFmtId="9" fontId="29" fillId="8" borderId="38" xfId="0" applyNumberFormat="1" applyFont="1" applyFill="1" applyBorder="1" applyAlignment="1">
      <alignment horizontal="left" vertical="center"/>
    </xf>
    <xf numFmtId="166" fontId="29" fillId="8" borderId="38" xfId="0" applyNumberFormat="1" applyFont="1" applyFill="1" applyBorder="1" applyAlignment="1">
      <alignment vertical="center"/>
    </xf>
    <xf numFmtId="167" fontId="29" fillId="8" borderId="43" xfId="0" applyNumberFormat="1" applyFont="1" applyFill="1" applyBorder="1" applyAlignment="1">
      <alignment vertical="center"/>
    </xf>
    <xf numFmtId="166" fontId="2" fillId="7" borderId="46" xfId="0" applyNumberFormat="1" applyFont="1" applyFill="1" applyBorder="1"/>
    <xf numFmtId="166" fontId="24" fillId="2" borderId="4" xfId="2" applyNumberFormat="1" applyFont="1" applyFill="1" applyBorder="1" applyAlignment="1">
      <alignment horizontal="right" vertical="center"/>
    </xf>
    <xf numFmtId="10" fontId="32" fillId="8" borderId="38" xfId="0" applyNumberFormat="1" applyFont="1" applyFill="1" applyBorder="1" applyAlignment="1">
      <alignment vertical="center"/>
    </xf>
    <xf numFmtId="2" fontId="0" fillId="0" borderId="0" xfId="0" applyNumberFormat="1"/>
    <xf numFmtId="4" fontId="24" fillId="2" borderId="4" xfId="0" quotePrefix="1" applyNumberFormat="1" applyFont="1" applyFill="1" applyBorder="1" applyAlignment="1">
      <alignment horizontal="right" vertical="center"/>
    </xf>
    <xf numFmtId="166" fontId="29" fillId="8" borderId="4" xfId="0" applyNumberFormat="1" applyFont="1" applyFill="1" applyBorder="1" applyAlignment="1">
      <alignment horizontal="right" vertical="center"/>
    </xf>
    <xf numFmtId="4" fontId="24" fillId="2" borderId="4" xfId="0" applyNumberFormat="1" applyFont="1" applyFill="1" applyBorder="1" applyAlignment="1">
      <alignment horizontal="right" vertical="center"/>
    </xf>
    <xf numFmtId="0" fontId="32" fillId="8" borderId="4" xfId="0" applyFont="1" applyFill="1" applyBorder="1" applyAlignment="1">
      <alignment horizontal="left" vertical="center"/>
    </xf>
    <xf numFmtId="10" fontId="29" fillId="8" borderId="4" xfId="0" applyNumberFormat="1" applyFont="1" applyFill="1" applyBorder="1" applyAlignment="1">
      <alignment horizontal="right" vertical="center"/>
    </xf>
    <xf numFmtId="0" fontId="25" fillId="2" borderId="1" xfId="0" applyFont="1" applyFill="1" applyBorder="1" applyAlignment="1">
      <alignment vertical="center"/>
    </xf>
    <xf numFmtId="0" fontId="3" fillId="2" borderId="0" xfId="0" applyFont="1" applyFill="1"/>
    <xf numFmtId="43" fontId="29" fillId="8" borderId="38" xfId="7" applyFont="1" applyFill="1" applyBorder="1" applyAlignment="1">
      <alignment vertical="center"/>
    </xf>
    <xf numFmtId="0" fontId="2" fillId="0" borderId="38" xfId="0" applyFont="1" applyBorder="1" applyAlignment="1">
      <alignment horizontal="center" vertical="center" wrapText="1"/>
    </xf>
    <xf numFmtId="0" fontId="24" fillId="2" borderId="30" xfId="5" applyFont="1" applyFill="1" applyBorder="1" applyAlignment="1">
      <alignment horizontal="center" vertical="center" wrapText="1"/>
    </xf>
    <xf numFmtId="166" fontId="24" fillId="2" borderId="4" xfId="1" applyNumberFormat="1" applyFont="1" applyFill="1" applyBorder="1" applyAlignment="1">
      <alignment vertical="center"/>
    </xf>
    <xf numFmtId="166" fontId="2" fillId="7" borderId="11" xfId="0" applyNumberFormat="1" applyFont="1" applyFill="1" applyBorder="1"/>
    <xf numFmtId="0" fontId="25" fillId="2" borderId="3" xfId="5" applyFont="1" applyFill="1" applyBorder="1" applyAlignment="1">
      <alignment vertical="center" wrapText="1"/>
    </xf>
    <xf numFmtId="4" fontId="24" fillId="6" borderId="11" xfId="0" applyNumberFormat="1" applyFont="1" applyFill="1" applyBorder="1" applyAlignment="1">
      <alignment vertical="center"/>
    </xf>
    <xf numFmtId="0" fontId="25" fillId="2" borderId="4" xfId="5" applyFont="1" applyFill="1" applyBorder="1" applyAlignment="1">
      <alignment horizontal="center" vertical="center" wrapText="1"/>
    </xf>
    <xf numFmtId="0" fontId="25" fillId="2" borderId="4" xfId="3" applyFont="1" applyFill="1" applyBorder="1" applyAlignment="1">
      <alignment horizontal="left" vertical="center" wrapText="1"/>
    </xf>
    <xf numFmtId="44" fontId="24" fillId="2" borderId="4" xfId="1" applyFont="1" applyFill="1" applyBorder="1" applyAlignment="1">
      <alignment horizontal="center" vertical="center" wrapText="1"/>
    </xf>
    <xf numFmtId="4" fontId="24" fillId="2" borderId="4" xfId="5" applyNumberFormat="1" applyFont="1" applyFill="1" applyBorder="1" applyAlignment="1">
      <alignment horizontal="center" vertical="center" wrapText="1"/>
    </xf>
    <xf numFmtId="0" fontId="25" fillId="2" borderId="4" xfId="0" applyFont="1" applyFill="1" applyBorder="1" applyAlignment="1">
      <alignment horizontal="center" vertical="center" wrapText="1"/>
    </xf>
    <xf numFmtId="166" fontId="29" fillId="8" borderId="4" xfId="0" applyNumberFormat="1" applyFont="1" applyFill="1" applyBorder="1" applyAlignment="1">
      <alignment vertical="center"/>
    </xf>
    <xf numFmtId="167" fontId="29" fillId="8" borderId="4" xfId="0" applyNumberFormat="1" applyFont="1" applyFill="1" applyBorder="1" applyAlignment="1">
      <alignment vertical="center"/>
    </xf>
    <xf numFmtId="4" fontId="24" fillId="2" borderId="4" xfId="0" quotePrefix="1" applyNumberFormat="1" applyFont="1" applyFill="1" applyBorder="1" applyAlignment="1">
      <alignment vertical="center"/>
    </xf>
    <xf numFmtId="9" fontId="29" fillId="8" borderId="4" xfId="0" applyNumberFormat="1" applyFont="1" applyFill="1" applyBorder="1" applyAlignment="1">
      <alignment horizontal="center" vertical="center"/>
    </xf>
    <xf numFmtId="166" fontId="29" fillId="8" borderId="4" xfId="0" applyNumberFormat="1" applyFont="1" applyFill="1" applyBorder="1" applyAlignment="1">
      <alignment horizontal="center" vertical="center"/>
    </xf>
    <xf numFmtId="4" fontId="24" fillId="6" borderId="4" xfId="0" applyNumberFormat="1" applyFont="1" applyFill="1" applyBorder="1" applyAlignment="1">
      <alignment vertical="center"/>
    </xf>
    <xf numFmtId="4" fontId="24" fillId="2" borderId="4" xfId="0" applyNumberFormat="1" applyFont="1" applyFill="1" applyBorder="1" applyAlignment="1">
      <alignment vertical="center"/>
    </xf>
    <xf numFmtId="0" fontId="25" fillId="0" borderId="4" xfId="5" applyFont="1" applyBorder="1" applyAlignment="1">
      <alignment horizontal="center" vertical="center" wrapText="1"/>
    </xf>
    <xf numFmtId="4" fontId="24" fillId="0" borderId="4" xfId="0" applyNumberFormat="1" applyFont="1" applyBorder="1" applyAlignment="1">
      <alignment vertical="center"/>
    </xf>
    <xf numFmtId="4" fontId="24" fillId="2" borderId="4" xfId="5" applyNumberFormat="1" applyFont="1" applyFill="1" applyBorder="1" applyAlignment="1">
      <alignment vertical="center" wrapText="1"/>
    </xf>
    <xf numFmtId="10" fontId="32" fillId="8" borderId="4" xfId="0" applyNumberFormat="1" applyFont="1" applyFill="1" applyBorder="1" applyAlignment="1">
      <alignment vertical="center"/>
    </xf>
    <xf numFmtId="164" fontId="24" fillId="6" borderId="4" xfId="5" applyNumberFormat="1" applyFont="1" applyFill="1" applyBorder="1" applyAlignment="1">
      <alignment vertical="center" wrapText="1"/>
    </xf>
    <xf numFmtId="4" fontId="24" fillId="2" borderId="4" xfId="1" applyNumberFormat="1" applyFont="1" applyFill="1" applyBorder="1" applyAlignment="1">
      <alignment horizontal="right" vertical="center"/>
    </xf>
    <xf numFmtId="0" fontId="24" fillId="2" borderId="4" xfId="5" applyFont="1" applyFill="1" applyBorder="1" applyAlignment="1">
      <alignment vertical="center"/>
    </xf>
    <xf numFmtId="10" fontId="24" fillId="2" borderId="4" xfId="0" applyNumberFormat="1" applyFont="1" applyFill="1" applyBorder="1" applyAlignment="1">
      <alignment vertical="center"/>
    </xf>
    <xf numFmtId="166" fontId="2" fillId="7" borderId="4" xfId="0" applyNumberFormat="1" applyFont="1" applyFill="1" applyBorder="1"/>
    <xf numFmtId="166" fontId="29" fillId="8" borderId="1" xfId="0" applyNumberFormat="1" applyFont="1" applyFill="1" applyBorder="1" applyAlignment="1">
      <alignment vertical="center"/>
    </xf>
    <xf numFmtId="2" fontId="29" fillId="8" borderId="39" xfId="0" applyNumberFormat="1" applyFont="1" applyFill="1" applyBorder="1" applyAlignment="1">
      <alignment vertical="center"/>
    </xf>
    <xf numFmtId="44" fontId="0" fillId="0" borderId="0" xfId="0" applyNumberFormat="1"/>
    <xf numFmtId="166" fontId="0" fillId="0" borderId="0" xfId="0" applyNumberFormat="1"/>
    <xf numFmtId="168" fontId="0" fillId="0" borderId="0" xfId="0" applyNumberFormat="1"/>
    <xf numFmtId="0" fontId="0" fillId="0" borderId="0" xfId="0" applyAlignment="1">
      <alignment wrapText="1"/>
    </xf>
    <xf numFmtId="0" fontId="36" fillId="0" borderId="56" xfId="0" applyFont="1" applyBorder="1" applyAlignment="1">
      <alignment horizontal="center" wrapText="1"/>
    </xf>
    <xf numFmtId="0" fontId="0" fillId="0" borderId="57" xfId="0" applyBorder="1" applyAlignment="1">
      <alignment horizontal="center" vertical="center" wrapText="1"/>
    </xf>
    <xf numFmtId="0" fontId="0" fillId="0" borderId="39" xfId="0" applyBorder="1" applyAlignment="1">
      <alignment horizontal="center" vertical="center" wrapText="1"/>
    </xf>
    <xf numFmtId="166" fontId="2" fillId="0" borderId="42" xfId="0" applyNumberFormat="1" applyFont="1" applyBorder="1" applyAlignment="1">
      <alignment vertical="center" wrapText="1"/>
    </xf>
    <xf numFmtId="166" fontId="2" fillId="0" borderId="4" xfId="0" applyNumberFormat="1" applyFont="1" applyBorder="1" applyAlignment="1">
      <alignment vertical="center" wrapText="1"/>
    </xf>
    <xf numFmtId="0" fontId="24" fillId="2" borderId="4" xfId="5" applyFont="1" applyFill="1" applyBorder="1" applyAlignment="1">
      <alignment horizontal="left" vertical="center" wrapText="1"/>
    </xf>
    <xf numFmtId="0" fontId="24" fillId="2" borderId="4" xfId="5" applyFont="1" applyFill="1" applyBorder="1" applyAlignment="1">
      <alignment horizontal="center" vertical="center" wrapText="1"/>
    </xf>
    <xf numFmtId="0" fontId="24" fillId="2" borderId="4" xfId="5" applyFont="1" applyFill="1" applyBorder="1" applyAlignment="1">
      <alignment vertical="center" wrapText="1"/>
    </xf>
    <xf numFmtId="9" fontId="29" fillId="8" borderId="4" xfId="0" applyNumberFormat="1" applyFont="1" applyFill="1" applyBorder="1" applyAlignment="1">
      <alignment horizontal="left" vertical="center"/>
    </xf>
    <xf numFmtId="0" fontId="25" fillId="2" borderId="4" xfId="0" applyFont="1" applyFill="1" applyBorder="1" applyAlignment="1">
      <alignment horizontal="center" vertical="center"/>
    </xf>
    <xf numFmtId="9" fontId="29" fillId="8" borderId="39" xfId="0" applyNumberFormat="1" applyFont="1" applyFill="1" applyBorder="1" applyAlignment="1">
      <alignment horizontal="left" vertical="center"/>
    </xf>
    <xf numFmtId="169" fontId="0" fillId="0" borderId="0" xfId="0" applyNumberFormat="1"/>
    <xf numFmtId="0" fontId="28" fillId="2" borderId="0" xfId="0" applyFont="1" applyFill="1" applyBorder="1" applyAlignment="1">
      <alignment horizontal="right" vertical="center" wrapText="1"/>
    </xf>
    <xf numFmtId="166" fontId="28" fillId="2" borderId="0" xfId="0" applyNumberFormat="1" applyFont="1" applyFill="1" applyBorder="1" applyAlignment="1">
      <alignment horizontal="right" vertical="center" wrapText="1"/>
    </xf>
    <xf numFmtId="166" fontId="28" fillId="4" borderId="4" xfId="0" applyNumberFormat="1" applyFont="1" applyFill="1" applyBorder="1" applyAlignment="1">
      <alignment horizontal="right" vertical="center" wrapText="1"/>
    </xf>
    <xf numFmtId="166" fontId="20" fillId="0" borderId="0" xfId="0" applyNumberFormat="1" applyFont="1" applyAlignment="1">
      <alignment vertical="center"/>
    </xf>
    <xf numFmtId="0" fontId="39" fillId="2" borderId="4" xfId="0" applyFont="1" applyFill="1" applyBorder="1" applyAlignment="1">
      <alignment horizontal="center" vertical="center" wrapText="1"/>
    </xf>
    <xf numFmtId="1" fontId="21" fillId="0" borderId="3" xfId="1" applyNumberFormat="1" applyFont="1" applyBorder="1" applyAlignment="1">
      <alignment horizontal="center" vertical="center"/>
    </xf>
    <xf numFmtId="0" fontId="2" fillId="0" borderId="42" xfId="0" applyFont="1" applyBorder="1" applyAlignment="1">
      <alignment horizontal="center" vertical="center" wrapText="1"/>
    </xf>
    <xf numFmtId="0" fontId="24" fillId="2" borderId="4" xfId="5" applyFont="1" applyFill="1" applyBorder="1" applyAlignment="1">
      <alignment horizontal="left" vertical="center" wrapText="1"/>
    </xf>
    <xf numFmtId="0" fontId="24" fillId="2" borderId="4" xfId="5" applyFont="1" applyFill="1" applyBorder="1" applyAlignment="1">
      <alignment vertical="center" wrapText="1"/>
    </xf>
    <xf numFmtId="9" fontId="29" fillId="8" borderId="4" xfId="0" applyNumberFormat="1" applyFont="1" applyFill="1" applyBorder="1" applyAlignment="1">
      <alignment horizontal="left" vertical="center"/>
    </xf>
    <xf numFmtId="9" fontId="29" fillId="8" borderId="39" xfId="0" applyNumberFormat="1" applyFont="1" applyFill="1" applyBorder="1" applyAlignment="1">
      <alignment horizontal="left" vertical="center"/>
    </xf>
    <xf numFmtId="0" fontId="21" fillId="0" borderId="2" xfId="0" applyFont="1" applyBorder="1" applyAlignment="1">
      <alignment horizontal="center" vertical="center"/>
    </xf>
    <xf numFmtId="0" fontId="21" fillId="0" borderId="3" xfId="0" applyFont="1" applyBorder="1" applyAlignment="1">
      <alignment horizontal="center" vertical="center"/>
    </xf>
    <xf numFmtId="166" fontId="20" fillId="0" borderId="3" xfId="7" applyNumberFormat="1" applyFont="1" applyBorder="1" applyAlignment="1">
      <alignment horizontal="center" vertical="center"/>
    </xf>
    <xf numFmtId="0" fontId="21" fillId="0" borderId="4" xfId="0" applyFont="1" applyBorder="1" applyAlignment="1">
      <alignment horizontal="center" vertical="center"/>
    </xf>
    <xf numFmtId="43" fontId="21" fillId="0" borderId="3" xfId="7" applyFont="1" applyBorder="1" applyAlignment="1">
      <alignment horizontal="center" vertical="center"/>
    </xf>
    <xf numFmtId="43" fontId="21" fillId="0" borderId="3" xfId="7" applyFont="1" applyBorder="1" applyAlignment="1">
      <alignment horizontal="center" vertical="center" wrapText="1"/>
    </xf>
    <xf numFmtId="166" fontId="20" fillId="0" borderId="4" xfId="7" applyNumberFormat="1" applyFont="1" applyBorder="1" applyAlignment="1">
      <alignment horizontal="center" vertical="center"/>
    </xf>
    <xf numFmtId="43" fontId="21" fillId="0" borderId="4" xfId="7" applyFont="1" applyBorder="1" applyAlignment="1">
      <alignment horizontal="center" vertical="center" wrapText="1"/>
    </xf>
    <xf numFmtId="0" fontId="0" fillId="0" borderId="42" xfId="0" applyBorder="1" applyAlignment="1">
      <alignment vertical="center" wrapText="1"/>
    </xf>
    <xf numFmtId="166" fontId="2" fillId="0" borderId="60" xfId="0" applyNumberFormat="1" applyFont="1" applyBorder="1" applyAlignment="1">
      <alignment vertical="center" wrapText="1"/>
    </xf>
    <xf numFmtId="0" fontId="21" fillId="0" borderId="32" xfId="0" applyFont="1" applyBorder="1" applyAlignment="1">
      <alignment horizontal="right" vertical="center"/>
    </xf>
    <xf numFmtId="0" fontId="21" fillId="0" borderId="0" xfId="0" applyFont="1" applyBorder="1" applyAlignment="1">
      <alignment horizontal="right" vertical="center"/>
    </xf>
    <xf numFmtId="166" fontId="20" fillId="0" borderId="34" xfId="7" applyNumberFormat="1" applyFont="1" applyBorder="1" applyAlignment="1">
      <alignment horizontal="center" vertical="center"/>
    </xf>
    <xf numFmtId="43" fontId="21" fillId="0" borderId="24" xfId="7" applyFont="1" applyBorder="1" applyAlignment="1">
      <alignment vertical="center" wrapText="1"/>
    </xf>
    <xf numFmtId="166" fontId="20" fillId="0" borderId="24" xfId="7" applyNumberFormat="1" applyFont="1" applyBorder="1" applyAlignment="1">
      <alignment vertical="center"/>
    </xf>
    <xf numFmtId="0" fontId="20" fillId="0" borderId="32" xfId="0" applyFont="1" applyBorder="1" applyAlignment="1">
      <alignment horizontal="center" vertical="center"/>
    </xf>
    <xf numFmtId="0" fontId="20" fillId="0" borderId="0" xfId="0" applyFont="1" applyBorder="1" applyAlignment="1">
      <alignment horizontal="left" vertical="center"/>
    </xf>
    <xf numFmtId="0" fontId="20" fillId="0" borderId="0" xfId="0" applyFont="1" applyBorder="1" applyAlignment="1">
      <alignment horizontal="center" vertical="center"/>
    </xf>
    <xf numFmtId="43" fontId="20" fillId="0" borderId="0" xfId="7" applyFont="1" applyBorder="1" applyAlignment="1">
      <alignment horizontal="right" vertical="center"/>
    </xf>
    <xf numFmtId="43" fontId="20" fillId="0" borderId="34" xfId="7" applyFont="1" applyBorder="1" applyAlignment="1">
      <alignment vertical="center"/>
    </xf>
    <xf numFmtId="0" fontId="21" fillId="0" borderId="4" xfId="0" applyFont="1" applyBorder="1" applyAlignment="1">
      <alignment horizontal="right" vertical="center"/>
    </xf>
    <xf numFmtId="43" fontId="20" fillId="0" borderId="48" xfId="7" applyFont="1" applyBorder="1" applyAlignment="1">
      <alignment vertical="center"/>
    </xf>
    <xf numFmtId="0" fontId="21" fillId="0" borderId="26" xfId="0" applyFont="1" applyBorder="1" applyAlignment="1">
      <alignment horizontal="right" vertical="center"/>
    </xf>
    <xf numFmtId="166" fontId="20" fillId="0" borderId="24" xfId="7" applyNumberFormat="1" applyFont="1" applyBorder="1" applyAlignment="1">
      <alignment horizontal="center" vertical="center"/>
    </xf>
    <xf numFmtId="0" fontId="23" fillId="2" borderId="60" xfId="0" applyFont="1" applyFill="1" applyBorder="1" applyAlignment="1">
      <alignment horizontal="center" vertical="center"/>
    </xf>
    <xf numFmtId="166" fontId="20" fillId="0" borderId="60" xfId="7" applyNumberFormat="1" applyFont="1" applyBorder="1" applyAlignment="1">
      <alignment horizontal="center" vertical="center"/>
    </xf>
    <xf numFmtId="43" fontId="20" fillId="0" borderId="60" xfId="7" applyFont="1" applyBorder="1" applyAlignment="1">
      <alignment horizontal="right" vertical="center"/>
    </xf>
    <xf numFmtId="166" fontId="20" fillId="0" borderId="31" xfId="7" applyNumberFormat="1" applyFont="1" applyBorder="1" applyAlignment="1">
      <alignment vertical="center"/>
    </xf>
    <xf numFmtId="0" fontId="21" fillId="0" borderId="35" xfId="0" applyFont="1" applyBorder="1" applyAlignment="1">
      <alignment horizontal="center" vertical="center"/>
    </xf>
    <xf numFmtId="0" fontId="20" fillId="0" borderId="70" xfId="0" applyFont="1" applyBorder="1" applyAlignment="1">
      <alignment horizontal="center" vertical="center"/>
    </xf>
    <xf numFmtId="43" fontId="20" fillId="0" borderId="70" xfId="7" applyFont="1" applyBorder="1" applyAlignment="1">
      <alignment horizontal="right" vertical="center"/>
    </xf>
    <xf numFmtId="166" fontId="20" fillId="0" borderId="71" xfId="7" applyNumberFormat="1" applyFont="1" applyBorder="1" applyAlignment="1">
      <alignment vertical="center"/>
    </xf>
    <xf numFmtId="43" fontId="21" fillId="0" borderId="11" xfId="7" applyFont="1" applyBorder="1" applyAlignment="1">
      <alignment horizontal="center" vertical="center" wrapText="1"/>
    </xf>
    <xf numFmtId="0" fontId="21" fillId="0" borderId="60" xfId="0" applyFont="1" applyBorder="1" applyAlignment="1">
      <alignment horizontal="center" vertical="center"/>
    </xf>
    <xf numFmtId="0" fontId="20" fillId="0" borderId="30" xfId="0" applyFont="1" applyBorder="1" applyAlignment="1">
      <alignment horizontal="center" vertical="center"/>
    </xf>
    <xf numFmtId="0" fontId="20" fillId="0" borderId="60" xfId="0" applyFont="1" applyBorder="1" applyAlignment="1">
      <alignment horizontal="left" vertical="center"/>
    </xf>
    <xf numFmtId="0" fontId="20" fillId="0" borderId="60" xfId="0" applyFont="1" applyBorder="1" applyAlignment="1">
      <alignment horizontal="center" vertical="center"/>
    </xf>
    <xf numFmtId="43" fontId="20" fillId="0" borderId="31" xfId="7" applyFont="1" applyBorder="1" applyAlignment="1">
      <alignment vertical="center"/>
    </xf>
    <xf numFmtId="0" fontId="21" fillId="0" borderId="70" xfId="0" applyFont="1" applyBorder="1" applyAlignment="1">
      <alignment horizontal="left" vertical="center"/>
    </xf>
    <xf numFmtId="43" fontId="21" fillId="0" borderId="70" xfId="7" applyFont="1" applyBorder="1" applyAlignment="1">
      <alignment horizontal="center" vertical="center"/>
    </xf>
    <xf numFmtId="43" fontId="21" fillId="0" borderId="70" xfId="7" applyFont="1" applyBorder="1" applyAlignment="1">
      <alignment horizontal="center" vertical="center" wrapText="1"/>
    </xf>
    <xf numFmtId="43" fontId="21" fillId="0" borderId="71" xfId="7" applyFont="1" applyBorder="1" applyAlignment="1">
      <alignment vertical="center" wrapText="1"/>
    </xf>
    <xf numFmtId="0" fontId="21" fillId="0" borderId="30" xfId="0" applyFont="1" applyBorder="1" applyAlignment="1">
      <alignment horizontal="right" vertical="center"/>
    </xf>
    <xf numFmtId="0" fontId="21" fillId="0" borderId="60" xfId="0" applyFont="1" applyBorder="1" applyAlignment="1">
      <alignment horizontal="right" vertical="center"/>
    </xf>
    <xf numFmtId="166" fontId="20" fillId="0" borderId="31" xfId="7" applyNumberFormat="1" applyFont="1" applyBorder="1" applyAlignment="1">
      <alignment horizontal="center" vertical="center"/>
    </xf>
    <xf numFmtId="0" fontId="21" fillId="0" borderId="70" xfId="0" applyFont="1" applyBorder="1" applyAlignment="1">
      <alignment horizontal="center" vertical="center"/>
    </xf>
    <xf numFmtId="44" fontId="24" fillId="2" borderId="24" xfId="1" applyFont="1" applyFill="1" applyBorder="1" applyAlignment="1">
      <alignment horizontal="center" vertical="center" wrapText="1"/>
    </xf>
    <xf numFmtId="167" fontId="29" fillId="8" borderId="24" xfId="0" applyNumberFormat="1" applyFont="1" applyFill="1" applyBorder="1" applyAlignment="1">
      <alignment vertical="center"/>
    </xf>
    <xf numFmtId="4" fontId="24" fillId="2" borderId="24" xfId="0" quotePrefix="1" applyNumberFormat="1" applyFont="1" applyFill="1" applyBorder="1" applyAlignment="1">
      <alignment horizontal="right" vertical="center"/>
    </xf>
    <xf numFmtId="4" fontId="24" fillId="2" borderId="24" xfId="1" applyNumberFormat="1" applyFont="1" applyFill="1" applyBorder="1" applyAlignment="1">
      <alignment horizontal="right" vertical="center"/>
    </xf>
    <xf numFmtId="166" fontId="2" fillId="7" borderId="24" xfId="0" applyNumberFormat="1" applyFont="1" applyFill="1" applyBorder="1"/>
    <xf numFmtId="0" fontId="2" fillId="0" borderId="75" xfId="0" applyFont="1" applyBorder="1" applyAlignment="1">
      <alignment horizontal="center" vertical="center" wrapText="1"/>
    </xf>
    <xf numFmtId="0" fontId="2" fillId="0" borderId="76" xfId="0" applyFont="1" applyBorder="1" applyAlignment="1">
      <alignment horizontal="center" vertical="center" wrapText="1"/>
    </xf>
    <xf numFmtId="166" fontId="2" fillId="0" borderId="78" xfId="0" applyNumberFormat="1" applyFont="1" applyBorder="1" applyAlignment="1">
      <alignment vertical="center" wrapText="1"/>
    </xf>
    <xf numFmtId="0" fontId="36" fillId="0" borderId="0" xfId="0" applyFont="1" applyBorder="1" applyAlignment="1">
      <alignment horizontal="center" wrapText="1"/>
    </xf>
    <xf numFmtId="166" fontId="2" fillId="4" borderId="78" xfId="0" applyNumberFormat="1" applyFont="1" applyFill="1" applyBorder="1" applyAlignment="1">
      <alignment vertical="center" wrapText="1"/>
    </xf>
    <xf numFmtId="166" fontId="2" fillId="4" borderId="24" xfId="0" applyNumberFormat="1" applyFont="1" applyFill="1" applyBorder="1" applyAlignment="1">
      <alignment vertical="center" wrapText="1"/>
    </xf>
    <xf numFmtId="166" fontId="28" fillId="0" borderId="24" xfId="0" applyNumberFormat="1" applyFont="1" applyBorder="1" applyAlignment="1">
      <alignment vertical="center" wrapText="1"/>
    </xf>
    <xf numFmtId="0" fontId="0" fillId="0" borderId="32" xfId="0" applyBorder="1"/>
    <xf numFmtId="0" fontId="0" fillId="0" borderId="0" xfId="0" applyBorder="1"/>
    <xf numFmtId="0" fontId="0" fillId="0" borderId="34" xfId="0" applyBorder="1"/>
    <xf numFmtId="166" fontId="28" fillId="4" borderId="24" xfId="0" applyNumberFormat="1" applyFont="1" applyFill="1" applyBorder="1" applyAlignment="1">
      <alignment horizontal="right" vertical="center" wrapText="1"/>
    </xf>
    <xf numFmtId="166" fontId="28" fillId="4" borderId="67" xfId="0" applyNumberFormat="1" applyFont="1" applyFill="1" applyBorder="1" applyAlignment="1">
      <alignment horizontal="right" vertical="center" wrapText="1"/>
    </xf>
    <xf numFmtId="166" fontId="28" fillId="4" borderId="68" xfId="0" applyNumberFormat="1" applyFont="1" applyFill="1" applyBorder="1" applyAlignment="1">
      <alignment horizontal="right" vertical="center" wrapText="1"/>
    </xf>
    <xf numFmtId="0" fontId="0" fillId="2" borderId="0" xfId="0" applyFill="1" applyBorder="1"/>
    <xf numFmtId="166" fontId="28" fillId="4" borderId="35" xfId="0" applyNumberFormat="1" applyFont="1" applyFill="1" applyBorder="1" applyAlignment="1">
      <alignment horizontal="right" vertical="center" wrapText="1"/>
    </xf>
    <xf numFmtId="166" fontId="28" fillId="4" borderId="11" xfId="0" applyNumberFormat="1" applyFont="1" applyFill="1" applyBorder="1" applyAlignment="1">
      <alignment horizontal="right" vertical="center" wrapText="1"/>
    </xf>
    <xf numFmtId="10" fontId="24" fillId="2" borderId="4" xfId="5" applyNumberFormat="1" applyFont="1" applyFill="1" applyBorder="1" applyAlignment="1">
      <alignment horizontal="right" vertical="center" wrapText="1"/>
    </xf>
    <xf numFmtId="0" fontId="41" fillId="0" borderId="0" xfId="0" applyFont="1"/>
    <xf numFmtId="14" fontId="25" fillId="2" borderId="24" xfId="0" applyNumberFormat="1" applyFont="1" applyFill="1" applyBorder="1" applyAlignment="1">
      <alignment horizontal="right" vertical="center"/>
    </xf>
    <xf numFmtId="0" fontId="44" fillId="0" borderId="0" xfId="0" applyFont="1"/>
    <xf numFmtId="0" fontId="44" fillId="0" borderId="0" xfId="0" applyFont="1" applyAlignment="1">
      <alignment wrapText="1"/>
    </xf>
    <xf numFmtId="44" fontId="0" fillId="0" borderId="0" xfId="1" applyFont="1"/>
    <xf numFmtId="9" fontId="29" fillId="8" borderId="4" xfId="0" applyNumberFormat="1" applyFont="1" applyFill="1" applyBorder="1" applyAlignment="1">
      <alignment horizontal="left" vertical="center"/>
    </xf>
    <xf numFmtId="0" fontId="24" fillId="2" borderId="26" xfId="5" applyFont="1" applyFill="1" applyBorder="1" applyAlignment="1">
      <alignment horizontal="center" vertical="center" wrapText="1"/>
    </xf>
    <xf numFmtId="0" fontId="25" fillId="2" borderId="4" xfId="5" applyFont="1" applyFill="1" applyBorder="1" applyAlignment="1">
      <alignment horizontal="left" vertical="center" wrapText="1"/>
    </xf>
    <xf numFmtId="0" fontId="21" fillId="0" borderId="70" xfId="0" applyFont="1" applyBorder="1" applyAlignment="1">
      <alignment horizontal="center" vertical="center"/>
    </xf>
    <xf numFmtId="43" fontId="21" fillId="0" borderId="70" xfId="7" applyFont="1" applyBorder="1" applyAlignment="1">
      <alignment horizontal="center" vertical="center" wrapText="1"/>
    </xf>
    <xf numFmtId="166" fontId="21" fillId="0" borderId="31" xfId="7" applyNumberFormat="1" applyFont="1" applyBorder="1" applyAlignment="1">
      <alignment horizontal="center" vertical="center"/>
    </xf>
    <xf numFmtId="0" fontId="21" fillId="0" borderId="35" xfId="0" applyFont="1" applyBorder="1" applyAlignment="1">
      <alignment horizontal="center" vertical="center"/>
    </xf>
    <xf numFmtId="43" fontId="21" fillId="0" borderId="3" xfId="7" applyFont="1" applyBorder="1" applyAlignment="1">
      <alignment horizontal="center" vertical="center" wrapText="1"/>
    </xf>
    <xf numFmtId="0" fontId="20" fillId="0" borderId="3" xfId="7" applyNumberFormat="1" applyFont="1" applyBorder="1" applyAlignment="1">
      <alignment horizontal="center" vertical="center"/>
    </xf>
    <xf numFmtId="166" fontId="2" fillId="4" borderId="4" xfId="0" applyNumberFormat="1" applyFont="1" applyFill="1" applyBorder="1" applyAlignment="1">
      <alignment vertical="center" wrapText="1"/>
    </xf>
    <xf numFmtId="166" fontId="2" fillId="4" borderId="42" xfId="0" applyNumberFormat="1" applyFont="1" applyFill="1" applyBorder="1" applyAlignment="1">
      <alignment vertical="center" wrapText="1"/>
    </xf>
    <xf numFmtId="4" fontId="0" fillId="0" borderId="0" xfId="0" applyNumberFormat="1"/>
    <xf numFmtId="4" fontId="24" fillId="6" borderId="24" xfId="0" applyNumberFormat="1" applyFont="1" applyFill="1" applyBorder="1" applyAlignment="1" applyProtection="1">
      <alignment vertical="center"/>
      <protection locked="0"/>
    </xf>
    <xf numFmtId="0" fontId="24" fillId="2" borderId="4" xfId="5" applyFont="1" applyFill="1" applyBorder="1" applyAlignment="1">
      <alignment horizontal="left" vertical="center" wrapText="1"/>
    </xf>
    <xf numFmtId="0" fontId="24" fillId="2" borderId="26" xfId="5" applyFont="1" applyFill="1" applyBorder="1" applyAlignment="1">
      <alignment horizontal="center" vertical="center" wrapText="1"/>
    </xf>
    <xf numFmtId="0" fontId="24" fillId="2" borderId="4" xfId="5" applyFont="1" applyFill="1" applyBorder="1" applyAlignment="1">
      <alignment vertical="center" wrapText="1"/>
    </xf>
    <xf numFmtId="9" fontId="29" fillId="8" borderId="4" xfId="0" applyNumberFormat="1" applyFont="1" applyFill="1" applyBorder="1" applyAlignment="1">
      <alignment horizontal="left" vertical="center"/>
    </xf>
    <xf numFmtId="0" fontId="20" fillId="0" borderId="70" xfId="7" applyNumberFormat="1" applyFont="1" applyBorder="1" applyAlignment="1">
      <alignment horizontal="center" vertical="center"/>
    </xf>
    <xf numFmtId="0" fontId="20" fillId="0" borderId="4" xfId="7" applyNumberFormat="1" applyFont="1" applyBorder="1" applyAlignment="1">
      <alignment horizontal="center" vertical="center"/>
    </xf>
    <xf numFmtId="0" fontId="21" fillId="0" borderId="4" xfId="7" applyNumberFormat="1" applyFont="1" applyBorder="1" applyAlignment="1">
      <alignment horizontal="center" vertical="center"/>
    </xf>
    <xf numFmtId="0" fontId="20" fillId="0" borderId="60" xfId="7" applyNumberFormat="1" applyFont="1" applyBorder="1" applyAlignment="1">
      <alignment horizontal="center" vertical="center"/>
    </xf>
    <xf numFmtId="170" fontId="20" fillId="0" borderId="4" xfId="7" applyNumberFormat="1" applyFont="1" applyBorder="1" applyAlignment="1">
      <alignment horizontal="right" vertical="center"/>
    </xf>
    <xf numFmtId="170" fontId="20" fillId="0" borderId="60" xfId="7" applyNumberFormat="1" applyFont="1" applyBorder="1" applyAlignment="1">
      <alignment horizontal="right" vertical="center"/>
    </xf>
    <xf numFmtId="43" fontId="21" fillId="0" borderId="55" xfId="7" applyFont="1" applyBorder="1" applyAlignment="1">
      <alignment horizontal="center" vertical="center" wrapText="1"/>
    </xf>
    <xf numFmtId="43" fontId="21" fillId="0" borderId="17" xfId="7" applyFont="1" applyBorder="1" applyAlignment="1">
      <alignment horizontal="center" vertical="center" wrapText="1"/>
    </xf>
    <xf numFmtId="44" fontId="2" fillId="0" borderId="0" xfId="1" applyFont="1"/>
    <xf numFmtId="170" fontId="20" fillId="0" borderId="60" xfId="7" applyNumberFormat="1" applyFont="1" applyBorder="1" applyAlignment="1">
      <alignment horizontal="center" vertical="center"/>
    </xf>
    <xf numFmtId="43" fontId="20" fillId="0" borderId="60" xfId="7" applyFont="1" applyBorder="1" applyAlignment="1">
      <alignment vertical="center"/>
    </xf>
    <xf numFmtId="43" fontId="21" fillId="0" borderId="31" xfId="7" applyFont="1" applyBorder="1" applyAlignment="1">
      <alignment vertical="center"/>
    </xf>
    <xf numFmtId="0" fontId="7" fillId="0" borderId="0" xfId="0" applyFont="1" applyAlignment="1">
      <alignment horizontal="justify"/>
    </xf>
    <xf numFmtId="0" fontId="6" fillId="0" borderId="0" xfId="0" applyFont="1" applyAlignment="1">
      <alignment horizontal="center"/>
    </xf>
    <xf numFmtId="0" fontId="0" fillId="0" borderId="12" xfId="0" applyBorder="1" applyAlignment="1">
      <alignment horizontal="center"/>
    </xf>
    <xf numFmtId="0" fontId="0" fillId="0" borderId="10"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6" xfId="0" applyBorder="1" applyAlignment="1">
      <alignment horizontal="center"/>
    </xf>
    <xf numFmtId="0" fontId="12" fillId="0" borderId="0" xfId="0" applyFont="1" applyAlignment="1">
      <alignment horizontal="justify" wrapText="1"/>
    </xf>
    <xf numFmtId="0" fontId="16" fillId="0" borderId="17" xfId="0" applyFont="1" applyBorder="1" applyAlignment="1">
      <alignment horizontal="center" vertical="center" wrapText="1"/>
    </xf>
    <xf numFmtId="0" fontId="2" fillId="4" borderId="26" xfId="0" applyFont="1" applyFill="1" applyBorder="1" applyAlignment="1">
      <alignment horizontal="right" vertical="center" wrapText="1"/>
    </xf>
    <xf numFmtId="0" fontId="2" fillId="4" borderId="4" xfId="0" applyFont="1" applyFill="1" applyBorder="1" applyAlignment="1">
      <alignment horizontal="right" vertical="center" wrapText="1"/>
    </xf>
    <xf numFmtId="0" fontId="28" fillId="4" borderId="26" xfId="0" applyFont="1" applyFill="1" applyBorder="1" applyAlignment="1">
      <alignment horizontal="right" vertical="center" wrapText="1"/>
    </xf>
    <xf numFmtId="0" fontId="28" fillId="4" borderId="4" xfId="0" applyFont="1" applyFill="1" applyBorder="1" applyAlignment="1">
      <alignment horizontal="right" vertical="center" wrapText="1"/>
    </xf>
    <xf numFmtId="0" fontId="2" fillId="4" borderId="12" xfId="0" applyFont="1" applyFill="1" applyBorder="1" applyAlignment="1">
      <alignment horizontal="left" wrapText="1"/>
    </xf>
    <xf numFmtId="0" fontId="2" fillId="4" borderId="10" xfId="0" applyFont="1" applyFill="1" applyBorder="1" applyAlignment="1">
      <alignment horizontal="left" wrapText="1"/>
    </xf>
    <xf numFmtId="0" fontId="2" fillId="4" borderId="13" xfId="0" applyFont="1" applyFill="1" applyBorder="1" applyAlignment="1">
      <alignment horizontal="left" wrapText="1"/>
    </xf>
    <xf numFmtId="0" fontId="38" fillId="2" borderId="21" xfId="0" applyFont="1" applyFill="1" applyBorder="1" applyAlignment="1">
      <alignment horizontal="left" vertical="center" wrapText="1"/>
    </xf>
    <xf numFmtId="0" fontId="0" fillId="2" borderId="33" xfId="0" applyFont="1" applyFill="1" applyBorder="1" applyAlignment="1">
      <alignment horizontal="left" vertical="center" wrapText="1"/>
    </xf>
    <xf numFmtId="0" fontId="0" fillId="2" borderId="20" xfId="0" applyFont="1" applyFill="1" applyBorder="1" applyAlignment="1">
      <alignment horizontal="left" vertical="center" wrapText="1"/>
    </xf>
    <xf numFmtId="0" fontId="0" fillId="2" borderId="32" xfId="0" applyFont="1" applyFill="1" applyBorder="1" applyAlignment="1">
      <alignment horizontal="left" vertical="center" wrapText="1"/>
    </xf>
    <xf numFmtId="0" fontId="0" fillId="2" borderId="0" xfId="0" applyFont="1" applyFill="1" applyBorder="1" applyAlignment="1">
      <alignment horizontal="left" vertical="center" wrapText="1"/>
    </xf>
    <xf numFmtId="0" fontId="0" fillId="2" borderId="34" xfId="0" applyFont="1" applyFill="1" applyBorder="1" applyAlignment="1">
      <alignment horizontal="left" vertical="center" wrapText="1"/>
    </xf>
    <xf numFmtId="0" fontId="0" fillId="2" borderId="19" xfId="0" applyFont="1" applyFill="1" applyBorder="1" applyAlignment="1">
      <alignment horizontal="left" vertical="center" wrapText="1"/>
    </xf>
    <xf numFmtId="0" fontId="0" fillId="2" borderId="58" xfId="0" applyFont="1" applyFill="1" applyBorder="1" applyAlignment="1">
      <alignment horizontal="left" vertical="center" wrapText="1"/>
    </xf>
    <xf numFmtId="0" fontId="0" fillId="2" borderId="18" xfId="0" applyFont="1" applyFill="1" applyBorder="1" applyAlignment="1">
      <alignment horizontal="left" vertical="center" wrapText="1"/>
    </xf>
    <xf numFmtId="0" fontId="21" fillId="10" borderId="22" xfId="0" applyFont="1" applyFill="1" applyBorder="1" applyAlignment="1">
      <alignment horizontal="center" vertical="center"/>
    </xf>
    <xf numFmtId="0" fontId="21" fillId="10" borderId="7" xfId="0" applyFont="1" applyFill="1" applyBorder="1" applyAlignment="1">
      <alignment horizontal="center" vertical="center"/>
    </xf>
    <xf numFmtId="0" fontId="21" fillId="10" borderId="29" xfId="0" applyFont="1" applyFill="1" applyBorder="1" applyAlignment="1">
      <alignment horizontal="center" vertical="center"/>
    </xf>
    <xf numFmtId="0" fontId="28" fillId="0" borderId="26" xfId="0" applyFont="1" applyBorder="1" applyAlignment="1">
      <alignment horizontal="right" vertical="center" wrapText="1"/>
    </xf>
    <xf numFmtId="0" fontId="28" fillId="0" borderId="4" xfId="0" applyFont="1" applyBorder="1" applyAlignment="1">
      <alignment horizontal="right" vertical="center" wrapText="1"/>
    </xf>
    <xf numFmtId="0" fontId="28" fillId="4" borderId="9" xfId="0" applyFont="1" applyFill="1" applyBorder="1" applyAlignment="1">
      <alignment horizontal="right" vertical="center" wrapText="1"/>
    </xf>
    <xf numFmtId="0" fontId="28" fillId="4" borderId="35" xfId="0" applyFont="1" applyFill="1" applyBorder="1" applyAlignment="1">
      <alignment horizontal="right" vertical="center" wrapText="1"/>
    </xf>
    <xf numFmtId="0" fontId="2" fillId="0" borderId="77" xfId="0" applyFont="1" applyBorder="1" applyAlignment="1">
      <alignment horizontal="center" vertical="center" wrapText="1"/>
    </xf>
    <xf numFmtId="0" fontId="0" fillId="0" borderId="79" xfId="0" applyBorder="1" applyAlignment="1">
      <alignment horizontal="center" vertical="center" wrapText="1"/>
    </xf>
    <xf numFmtId="0" fontId="0" fillId="0" borderId="75" xfId="0" applyBorder="1" applyAlignment="1">
      <alignment horizontal="center" vertical="center" wrapText="1"/>
    </xf>
    <xf numFmtId="0" fontId="2" fillId="0" borderId="77" xfId="0" applyFont="1" applyBorder="1" applyAlignment="1">
      <alignment horizontal="center" vertical="center"/>
    </xf>
    <xf numFmtId="0" fontId="2" fillId="0" borderId="79" xfId="0" applyFont="1" applyBorder="1" applyAlignment="1">
      <alignment horizontal="center" vertical="center"/>
    </xf>
    <xf numFmtId="0" fontId="2" fillId="4" borderId="32" xfId="0" applyFont="1" applyFill="1" applyBorder="1" applyAlignment="1">
      <alignment horizontal="right" vertical="center" wrapText="1"/>
    </xf>
    <xf numFmtId="0" fontId="2" fillId="4" borderId="0" xfId="0" applyFont="1" applyFill="1" applyBorder="1" applyAlignment="1">
      <alignment horizontal="right" vertical="center" wrapText="1"/>
    </xf>
    <xf numFmtId="0" fontId="2" fillId="4" borderId="59" xfId="0" applyFont="1" applyFill="1" applyBorder="1" applyAlignment="1">
      <alignment horizontal="right" vertical="center" wrapText="1"/>
    </xf>
    <xf numFmtId="0" fontId="21" fillId="9" borderId="23" xfId="0" applyFont="1" applyFill="1" applyBorder="1" applyAlignment="1">
      <alignment horizontal="center" vertical="center"/>
    </xf>
    <xf numFmtId="0" fontId="21" fillId="9" borderId="2" xfId="0" applyFont="1" applyFill="1" applyBorder="1" applyAlignment="1">
      <alignment horizontal="center" vertical="center"/>
    </xf>
    <xf numFmtId="0" fontId="21" fillId="9" borderId="25" xfId="0" applyFont="1" applyFill="1" applyBorder="1" applyAlignment="1">
      <alignment horizontal="center" vertical="center"/>
    </xf>
    <xf numFmtId="0" fontId="2" fillId="0" borderId="80" xfId="0" applyFont="1" applyBorder="1" applyAlignment="1">
      <alignment horizontal="center" vertical="center"/>
    </xf>
    <xf numFmtId="0" fontId="28" fillId="4" borderId="66" xfId="0" applyFont="1" applyFill="1" applyBorder="1" applyAlignment="1">
      <alignment horizontal="right" vertical="center" wrapText="1"/>
    </xf>
    <xf numFmtId="0" fontId="28" fillId="4" borderId="67" xfId="0" applyFont="1" applyFill="1" applyBorder="1" applyAlignment="1">
      <alignment horizontal="right" vertical="center" wrapText="1"/>
    </xf>
    <xf numFmtId="0" fontId="19" fillId="4" borderId="63" xfId="3" applyFont="1" applyFill="1" applyBorder="1" applyAlignment="1">
      <alignment horizontal="center" vertical="center" wrapText="1"/>
    </xf>
    <xf numFmtId="0" fontId="19" fillId="4" borderId="64" xfId="3" applyFont="1" applyFill="1" applyBorder="1" applyAlignment="1">
      <alignment horizontal="center" vertical="center" wrapText="1"/>
    </xf>
    <xf numFmtId="0" fontId="19" fillId="4" borderId="65" xfId="3" applyFont="1" applyFill="1" applyBorder="1" applyAlignment="1">
      <alignment horizontal="center" vertical="center" wrapText="1"/>
    </xf>
    <xf numFmtId="0" fontId="24" fillId="15" borderId="26" xfId="3" applyFont="1" applyFill="1" applyBorder="1" applyAlignment="1">
      <alignment horizontal="center" vertical="center"/>
    </xf>
    <xf numFmtId="0" fontId="24" fillId="15" borderId="4" xfId="3" applyFont="1" applyFill="1" applyBorder="1" applyAlignment="1">
      <alignment horizontal="center" vertical="center"/>
    </xf>
    <xf numFmtId="0" fontId="24" fillId="15" borderId="24" xfId="3" applyFont="1" applyFill="1" applyBorder="1" applyAlignment="1">
      <alignment horizontal="center" vertical="center"/>
    </xf>
    <xf numFmtId="49" fontId="25" fillId="2" borderId="4" xfId="3" applyNumberFormat="1" applyFont="1" applyFill="1" applyBorder="1" applyAlignment="1">
      <alignment horizontal="center" vertical="center" wrapText="1"/>
    </xf>
    <xf numFmtId="49" fontId="25" fillId="2" borderId="24" xfId="3" applyNumberFormat="1" applyFont="1" applyFill="1" applyBorder="1" applyAlignment="1">
      <alignment horizontal="center" vertical="center" wrapText="1"/>
    </xf>
    <xf numFmtId="0" fontId="25" fillId="2" borderId="4" xfId="3" applyFont="1" applyFill="1" applyBorder="1" applyAlignment="1">
      <alignment horizontal="center" vertical="center" wrapText="1"/>
    </xf>
    <xf numFmtId="0" fontId="25" fillId="2" borderId="24" xfId="3" applyFont="1" applyFill="1" applyBorder="1" applyAlignment="1">
      <alignment horizontal="center" vertical="center" wrapText="1"/>
    </xf>
    <xf numFmtId="0" fontId="25" fillId="2" borderId="4" xfId="0" applyFont="1" applyFill="1" applyBorder="1" applyAlignment="1">
      <alignment horizontal="left" vertical="center"/>
    </xf>
    <xf numFmtId="0" fontId="24" fillId="2" borderId="26" xfId="5" applyFont="1" applyFill="1" applyBorder="1" applyAlignment="1">
      <alignment horizontal="center" vertical="center"/>
    </xf>
    <xf numFmtId="0" fontId="24" fillId="2" borderId="4" xfId="5" applyFont="1" applyFill="1" applyBorder="1" applyAlignment="1">
      <alignment horizontal="center" vertical="center"/>
    </xf>
    <xf numFmtId="0" fontId="24" fillId="2" borderId="24" xfId="5" applyFont="1" applyFill="1" applyBorder="1" applyAlignment="1">
      <alignment horizontal="center" vertical="center"/>
    </xf>
    <xf numFmtId="0" fontId="24" fillId="2" borderId="4" xfId="5" applyFont="1" applyFill="1" applyBorder="1" applyAlignment="1">
      <alignment horizontal="left" vertical="center" wrapText="1"/>
    </xf>
    <xf numFmtId="0" fontId="25" fillId="2" borderId="4" xfId="0" applyFont="1" applyFill="1" applyBorder="1" applyAlignment="1">
      <alignment horizontal="left" vertical="center" wrapText="1"/>
    </xf>
    <xf numFmtId="0" fontId="25" fillId="2" borderId="4" xfId="0" applyFont="1" applyFill="1" applyBorder="1" applyAlignment="1">
      <alignment horizontal="justify" vertical="center"/>
    </xf>
    <xf numFmtId="9" fontId="29" fillId="8" borderId="4" xfId="0" applyNumberFormat="1" applyFont="1" applyFill="1" applyBorder="1" applyAlignment="1">
      <alignment horizontal="left" vertical="center"/>
    </xf>
    <xf numFmtId="0" fontId="30" fillId="0" borderId="4" xfId="0" applyFont="1" applyBorder="1"/>
    <xf numFmtId="0" fontId="24" fillId="2" borderId="4" xfId="0" applyFont="1" applyFill="1" applyBorder="1" applyAlignment="1">
      <alignment horizontal="center" vertical="center"/>
    </xf>
    <xf numFmtId="0" fontId="25" fillId="2" borderId="4" xfId="0" applyFont="1" applyFill="1" applyBorder="1" applyAlignment="1">
      <alignment horizontal="center" vertical="center"/>
    </xf>
    <xf numFmtId="0" fontId="24" fillId="13" borderId="26" xfId="3" applyFont="1" applyFill="1" applyBorder="1" applyAlignment="1">
      <alignment horizontal="center" vertical="center"/>
    </xf>
    <xf numFmtId="0" fontId="24" fillId="13" borderId="4" xfId="3" applyFont="1" applyFill="1" applyBorder="1" applyAlignment="1">
      <alignment horizontal="center" vertical="center"/>
    </xf>
    <xf numFmtId="0" fontId="24" fillId="13" borderId="24" xfId="3" applyFont="1" applyFill="1" applyBorder="1" applyAlignment="1">
      <alignment horizontal="center" vertical="center"/>
    </xf>
    <xf numFmtId="0" fontId="24" fillId="2" borderId="26" xfId="3" applyFont="1" applyFill="1" applyBorder="1" applyAlignment="1">
      <alignment horizontal="center" vertical="center"/>
    </xf>
    <xf numFmtId="0" fontId="24" fillId="2" borderId="4" xfId="3" applyFont="1" applyFill="1" applyBorder="1" applyAlignment="1">
      <alignment horizontal="center" vertical="center"/>
    </xf>
    <xf numFmtId="0" fontId="24" fillId="2" borderId="24" xfId="3" applyFont="1" applyFill="1" applyBorder="1" applyAlignment="1">
      <alignment horizontal="center" vertical="center"/>
    </xf>
    <xf numFmtId="0" fontId="24" fillId="5" borderId="4" xfId="3" applyFont="1" applyFill="1" applyBorder="1" applyAlignment="1">
      <alignment horizontal="center" vertical="center"/>
    </xf>
    <xf numFmtId="0" fontId="24" fillId="5" borderId="24" xfId="3" applyFont="1" applyFill="1" applyBorder="1" applyAlignment="1">
      <alignment horizontal="center" vertical="center"/>
    </xf>
    <xf numFmtId="0" fontId="25" fillId="2" borderId="4" xfId="4" applyFont="1" applyFill="1" applyBorder="1" applyAlignment="1">
      <alignment horizontal="center" vertical="center" wrapText="1"/>
    </xf>
    <xf numFmtId="0" fontId="25" fillId="2" borderId="24" xfId="4" applyFont="1" applyFill="1" applyBorder="1" applyAlignment="1">
      <alignment horizontal="center" vertical="center" wrapText="1"/>
    </xf>
    <xf numFmtId="0" fontId="25" fillId="2" borderId="4" xfId="4" applyFont="1" applyFill="1" applyBorder="1" applyAlignment="1">
      <alignment horizontal="left" vertical="center" wrapText="1"/>
    </xf>
    <xf numFmtId="0" fontId="27" fillId="2" borderId="26" xfId="5" applyFont="1" applyFill="1" applyBorder="1" applyAlignment="1">
      <alignment horizontal="center" vertical="center" wrapText="1"/>
    </xf>
    <xf numFmtId="0" fontId="27" fillId="2" borderId="4" xfId="5" applyFont="1" applyFill="1" applyBorder="1" applyAlignment="1">
      <alignment horizontal="center" vertical="center" wrapText="1"/>
    </xf>
    <xf numFmtId="0" fontId="27" fillId="2" borderId="24" xfId="5" applyFont="1" applyFill="1" applyBorder="1" applyAlignment="1">
      <alignment horizontal="center" vertical="center" wrapText="1"/>
    </xf>
    <xf numFmtId="0" fontId="24" fillId="6" borderId="26" xfId="5" applyFont="1" applyFill="1" applyBorder="1" applyAlignment="1">
      <alignment horizontal="right" vertical="center" wrapText="1"/>
    </xf>
    <xf numFmtId="0" fontId="24" fillId="6" borderId="4" xfId="5" applyFont="1" applyFill="1" applyBorder="1" applyAlignment="1">
      <alignment horizontal="right" vertical="center" wrapText="1"/>
    </xf>
    <xf numFmtId="0" fontId="25" fillId="2" borderId="4" xfId="5" applyFont="1" applyFill="1" applyBorder="1" applyAlignment="1">
      <alignment horizontal="left" vertical="center" wrapText="1"/>
    </xf>
    <xf numFmtId="0" fontId="25" fillId="6" borderId="4" xfId="0" applyFont="1" applyFill="1" applyBorder="1" applyAlignment="1">
      <alignment horizontal="right" vertical="center" wrapText="1"/>
    </xf>
    <xf numFmtId="0" fontId="25" fillId="0" borderId="4" xfId="6" applyFont="1" applyFill="1" applyBorder="1" applyAlignment="1" applyProtection="1">
      <alignment horizontal="left" vertical="center"/>
    </xf>
    <xf numFmtId="0" fontId="33" fillId="8" borderId="4" xfId="0" applyFont="1" applyFill="1" applyBorder="1" applyAlignment="1">
      <alignment horizontal="left" vertical="center" wrapText="1"/>
    </xf>
    <xf numFmtId="0" fontId="43" fillId="2" borderId="1" xfId="5" applyFont="1" applyFill="1" applyBorder="1" applyAlignment="1">
      <alignment horizontal="left" vertical="center" wrapText="1"/>
    </xf>
    <xf numFmtId="0" fontId="25" fillId="2" borderId="3" xfId="5" applyFont="1" applyFill="1" applyBorder="1" applyAlignment="1">
      <alignment horizontal="left" vertical="center" wrapText="1"/>
    </xf>
    <xf numFmtId="10" fontId="24" fillId="2" borderId="4" xfId="2" applyNumberFormat="1" applyFont="1" applyFill="1" applyBorder="1" applyAlignment="1">
      <alignment horizontal="right" vertical="center"/>
    </xf>
    <xf numFmtId="0" fontId="24" fillId="2" borderId="26" xfId="5" applyFont="1" applyFill="1" applyBorder="1" applyAlignment="1">
      <alignment horizontal="center" vertical="center" wrapText="1"/>
    </xf>
    <xf numFmtId="0" fontId="24" fillId="2" borderId="4" xfId="5" applyFont="1" applyFill="1" applyBorder="1" applyAlignment="1">
      <alignment vertical="center" wrapText="1"/>
    </xf>
    <xf numFmtId="0" fontId="24" fillId="2" borderId="4" xfId="5" applyFont="1" applyFill="1" applyBorder="1" applyAlignment="1">
      <alignment horizontal="center" vertical="center" wrapText="1"/>
    </xf>
    <xf numFmtId="0" fontId="24" fillId="6" borderId="26" xfId="5" applyFont="1" applyFill="1" applyBorder="1" applyAlignment="1">
      <alignment horizontal="center" vertical="center" wrapText="1"/>
    </xf>
    <xf numFmtId="0" fontId="24" fillId="6" borderId="4" xfId="5" applyFont="1" applyFill="1" applyBorder="1" applyAlignment="1">
      <alignment horizontal="center" vertical="center" wrapText="1"/>
    </xf>
    <xf numFmtId="0" fontId="24" fillId="2" borderId="26" xfId="5" applyFont="1" applyFill="1" applyBorder="1" applyAlignment="1">
      <alignment horizontal="right" vertical="center" wrapText="1"/>
    </xf>
    <xf numFmtId="0" fontId="24" fillId="2" borderId="4" xfId="5" applyFont="1" applyFill="1" applyBorder="1" applyAlignment="1">
      <alignment horizontal="right" vertical="center" wrapText="1"/>
    </xf>
    <xf numFmtId="0" fontId="2" fillId="7" borderId="26" xfId="0" applyFont="1" applyFill="1" applyBorder="1" applyAlignment="1">
      <alignment horizontal="center"/>
    </xf>
    <xf numFmtId="0" fontId="2" fillId="7" borderId="4" xfId="0" applyFont="1" applyFill="1" applyBorder="1" applyAlignment="1">
      <alignment horizontal="center"/>
    </xf>
    <xf numFmtId="0" fontId="31" fillId="0" borderId="72" xfId="0" applyFont="1" applyBorder="1" applyAlignment="1">
      <alignment horizontal="center" wrapText="1"/>
    </xf>
    <xf numFmtId="0" fontId="2" fillId="0" borderId="73" xfId="0" applyFont="1" applyBorder="1" applyAlignment="1">
      <alignment horizontal="center" wrapText="1"/>
    </xf>
    <xf numFmtId="0" fontId="2" fillId="0" borderId="74" xfId="0" applyFont="1" applyBorder="1" applyAlignment="1">
      <alignment horizontal="center" wrapText="1"/>
    </xf>
    <xf numFmtId="0" fontId="25" fillId="2" borderId="1" xfId="5" applyFont="1" applyFill="1" applyBorder="1" applyAlignment="1">
      <alignment horizontal="left" vertical="center" wrapText="1"/>
    </xf>
    <xf numFmtId="0" fontId="25" fillId="2" borderId="2" xfId="5" applyFont="1" applyFill="1" applyBorder="1" applyAlignment="1">
      <alignment horizontal="left" vertical="center" wrapText="1"/>
    </xf>
    <xf numFmtId="0" fontId="24" fillId="5" borderId="26" xfId="3" applyFont="1" applyFill="1" applyBorder="1" applyAlignment="1">
      <alignment horizontal="center" vertical="center"/>
    </xf>
    <xf numFmtId="0" fontId="24" fillId="2" borderId="1" xfId="5" applyFont="1" applyFill="1" applyBorder="1" applyAlignment="1">
      <alignment horizontal="center" vertical="center" wrapText="1"/>
    </xf>
    <xf numFmtId="0" fontId="24" fillId="2" borderId="2" xfId="5" applyFont="1" applyFill="1" applyBorder="1" applyAlignment="1">
      <alignment horizontal="center" vertical="center" wrapText="1"/>
    </xf>
    <xf numFmtId="0" fontId="24" fillId="2" borderId="3" xfId="5" applyFont="1" applyFill="1" applyBorder="1" applyAlignment="1">
      <alignment horizontal="center" vertical="center" wrapText="1"/>
    </xf>
    <xf numFmtId="0" fontId="25" fillId="2" borderId="1" xfId="0" applyFont="1" applyFill="1" applyBorder="1" applyAlignment="1">
      <alignment horizontal="justify" vertical="center"/>
    </xf>
    <xf numFmtId="0" fontId="25" fillId="2" borderId="1" xfId="0" applyFont="1" applyFill="1" applyBorder="1" applyAlignment="1">
      <alignment horizontal="center" vertical="center"/>
    </xf>
    <xf numFmtId="0" fontId="24" fillId="6" borderId="23" xfId="5" applyFont="1" applyFill="1" applyBorder="1" applyAlignment="1">
      <alignment horizontal="center" vertical="center" wrapText="1"/>
    </xf>
    <xf numFmtId="0" fontId="24" fillId="6" borderId="2" xfId="5" applyFont="1" applyFill="1" applyBorder="1" applyAlignment="1">
      <alignment horizontal="center" vertical="center" wrapText="1"/>
    </xf>
    <xf numFmtId="0" fontId="24" fillId="6" borderId="25" xfId="5" applyFont="1" applyFill="1" applyBorder="1" applyAlignment="1">
      <alignment horizontal="center" vertical="center" wrapText="1"/>
    </xf>
    <xf numFmtId="0" fontId="45" fillId="14" borderId="60" xfId="0" applyFont="1" applyFill="1" applyBorder="1" applyAlignment="1">
      <alignment horizontal="right" vertical="center" wrapText="1"/>
    </xf>
    <xf numFmtId="0" fontId="45" fillId="14" borderId="24" xfId="4" applyFont="1" applyFill="1" applyBorder="1" applyAlignment="1">
      <alignment horizontal="right" vertical="center" wrapText="1"/>
    </xf>
    <xf numFmtId="0" fontId="25" fillId="2" borderId="1" xfId="3" applyFont="1" applyFill="1" applyBorder="1" applyAlignment="1">
      <alignment horizontal="center" vertical="center" wrapText="1"/>
    </xf>
    <xf numFmtId="0" fontId="25" fillId="2" borderId="2" xfId="3" applyFont="1" applyFill="1" applyBorder="1" applyAlignment="1">
      <alignment horizontal="center" vertical="center" wrapText="1"/>
    </xf>
    <xf numFmtId="0" fontId="25" fillId="2" borderId="25" xfId="3" applyFont="1" applyFill="1" applyBorder="1" applyAlignment="1">
      <alignment horizontal="center" vertical="center" wrapText="1"/>
    </xf>
    <xf numFmtId="0" fontId="19" fillId="4" borderId="12" xfId="3" applyFont="1" applyFill="1" applyBorder="1" applyAlignment="1">
      <alignment horizontal="center" vertical="center" wrapText="1"/>
    </xf>
    <xf numFmtId="0" fontId="19" fillId="4" borderId="10" xfId="3" applyFont="1" applyFill="1" applyBorder="1" applyAlignment="1">
      <alignment horizontal="center" vertical="center" wrapText="1"/>
    </xf>
    <xf numFmtId="0" fontId="19" fillId="4" borderId="13" xfId="3" applyFont="1" applyFill="1" applyBorder="1" applyAlignment="1">
      <alignment horizontal="center" vertical="center" wrapText="1"/>
    </xf>
    <xf numFmtId="0" fontId="24" fillId="2" borderId="22" xfId="3" applyFont="1" applyFill="1" applyBorder="1" applyAlignment="1">
      <alignment horizontal="center" vertical="center"/>
    </xf>
    <xf numFmtId="0" fontId="24" fillId="2" borderId="7" xfId="3" applyFont="1" applyFill="1" applyBorder="1" applyAlignment="1">
      <alignment horizontal="center" vertical="center"/>
    </xf>
    <xf numFmtId="0" fontId="24" fillId="2" borderId="29" xfId="3" applyFont="1" applyFill="1" applyBorder="1" applyAlignment="1">
      <alignment horizontal="center" vertical="center"/>
    </xf>
    <xf numFmtId="49" fontId="25" fillId="2" borderId="1" xfId="3" applyNumberFormat="1" applyFont="1" applyFill="1" applyBorder="1" applyAlignment="1">
      <alignment horizontal="center" vertical="center" wrapText="1"/>
    </xf>
    <xf numFmtId="49" fontId="25" fillId="2" borderId="2" xfId="3" applyNumberFormat="1" applyFont="1" applyFill="1" applyBorder="1" applyAlignment="1">
      <alignment horizontal="center" vertical="center" wrapText="1"/>
    </xf>
    <xf numFmtId="49" fontId="25" fillId="2" borderId="25" xfId="3" applyNumberFormat="1" applyFont="1" applyFill="1" applyBorder="1" applyAlignment="1">
      <alignment horizontal="center" vertical="center" wrapText="1"/>
    </xf>
    <xf numFmtId="14" fontId="25" fillId="2" borderId="1" xfId="0" applyNumberFormat="1" applyFont="1" applyFill="1" applyBorder="1" applyAlignment="1">
      <alignment horizontal="right" vertical="center"/>
    </xf>
    <xf numFmtId="14" fontId="25" fillId="2" borderId="2" xfId="0" applyNumberFormat="1" applyFont="1" applyFill="1" applyBorder="1" applyAlignment="1">
      <alignment horizontal="right" vertical="center"/>
    </xf>
    <xf numFmtId="14" fontId="25" fillId="2" borderId="25" xfId="0" applyNumberFormat="1" applyFont="1" applyFill="1" applyBorder="1" applyAlignment="1">
      <alignment horizontal="right" vertical="center"/>
    </xf>
    <xf numFmtId="0" fontId="24" fillId="2" borderId="23" xfId="5" applyFont="1" applyFill="1" applyBorder="1" applyAlignment="1">
      <alignment horizontal="center" vertical="center"/>
    </xf>
    <xf numFmtId="0" fontId="24" fillId="2" borderId="2" xfId="5" applyFont="1" applyFill="1" applyBorder="1" applyAlignment="1">
      <alignment horizontal="center" vertical="center"/>
    </xf>
    <xf numFmtId="0" fontId="24" fillId="2" borderId="3" xfId="5" applyFont="1" applyFill="1" applyBorder="1" applyAlignment="1">
      <alignment horizontal="center" vertical="center"/>
    </xf>
    <xf numFmtId="0" fontId="24" fillId="2" borderId="1" xfId="5" applyFont="1" applyFill="1" applyBorder="1" applyAlignment="1">
      <alignment horizontal="left" vertical="center" wrapText="1"/>
    </xf>
    <xf numFmtId="0" fontId="25" fillId="2" borderId="2" xfId="0" applyFont="1" applyFill="1" applyBorder="1" applyAlignment="1">
      <alignment horizontal="left" vertical="center" wrapText="1"/>
    </xf>
    <xf numFmtId="0" fontId="25" fillId="2" borderId="3" xfId="0" applyFont="1" applyFill="1" applyBorder="1" applyAlignment="1">
      <alignment horizontal="left" vertical="center" wrapText="1"/>
    </xf>
    <xf numFmtId="9" fontId="29" fillId="8" borderId="39" xfId="0" applyNumberFormat="1" applyFont="1" applyFill="1" applyBorder="1" applyAlignment="1">
      <alignment horizontal="left" vertical="center"/>
    </xf>
    <xf numFmtId="0" fontId="30" fillId="0" borderId="40" xfId="0" applyFont="1" applyBorder="1"/>
    <xf numFmtId="0" fontId="24" fillId="5" borderId="23" xfId="3" applyFont="1" applyFill="1" applyBorder="1" applyAlignment="1">
      <alignment horizontal="center" vertical="center"/>
    </xf>
    <xf numFmtId="0" fontId="24" fillId="5" borderId="2" xfId="3" applyFont="1" applyFill="1" applyBorder="1" applyAlignment="1">
      <alignment horizontal="center" vertical="center"/>
    </xf>
    <xf numFmtId="0" fontId="24" fillId="5" borderId="25" xfId="3" applyFont="1" applyFill="1" applyBorder="1" applyAlignment="1">
      <alignment horizontal="center" vertical="center"/>
    </xf>
    <xf numFmtId="0" fontId="24" fillId="2" borderId="27" xfId="3" applyFont="1" applyFill="1" applyBorder="1" applyAlignment="1">
      <alignment horizontal="center" vertical="center"/>
    </xf>
    <xf numFmtId="0" fontId="24" fillId="2" borderId="6" xfId="3" applyFont="1" applyFill="1" applyBorder="1" applyAlignment="1">
      <alignment horizontal="center" vertical="center"/>
    </xf>
    <xf numFmtId="0" fontId="24" fillId="2" borderId="28" xfId="3" applyFont="1" applyFill="1" applyBorder="1" applyAlignment="1">
      <alignment horizontal="center" vertical="center"/>
    </xf>
    <xf numFmtId="0" fontId="24" fillId="5" borderId="7" xfId="3" applyFont="1" applyFill="1" applyBorder="1" applyAlignment="1">
      <alignment horizontal="center" vertical="center"/>
    </xf>
    <xf numFmtId="0" fontId="24" fillId="5" borderId="29" xfId="3" applyFont="1" applyFill="1" applyBorder="1" applyAlignment="1">
      <alignment horizontal="center" vertical="center"/>
    </xf>
    <xf numFmtId="0" fontId="25" fillId="2" borderId="1" xfId="4" applyFont="1" applyFill="1" applyBorder="1" applyAlignment="1">
      <alignment horizontal="right" vertical="center" wrapText="1"/>
    </xf>
    <xf numFmtId="0" fontId="25" fillId="2" borderId="2" xfId="4" applyFont="1" applyFill="1" applyBorder="1" applyAlignment="1">
      <alignment horizontal="right" vertical="center" wrapText="1"/>
    </xf>
    <xf numFmtId="0" fontId="25" fillId="2" borderId="25" xfId="4" applyFont="1" applyFill="1" applyBorder="1" applyAlignment="1">
      <alignment horizontal="right" vertical="center" wrapText="1"/>
    </xf>
    <xf numFmtId="0" fontId="24" fillId="2" borderId="47" xfId="0" applyFont="1" applyFill="1" applyBorder="1" applyAlignment="1">
      <alignment horizontal="center" vertical="center"/>
    </xf>
    <xf numFmtId="0" fontId="25" fillId="2" borderId="0" xfId="0" applyFont="1" applyFill="1" applyAlignment="1">
      <alignment horizontal="center" vertical="center"/>
    </xf>
    <xf numFmtId="0" fontId="25" fillId="2" borderId="48" xfId="0" applyFont="1" applyFill="1" applyBorder="1" applyAlignment="1">
      <alignment horizontal="center" vertical="center"/>
    </xf>
    <xf numFmtId="0" fontId="25" fillId="2" borderId="5" xfId="0" applyFont="1" applyFill="1" applyBorder="1" applyAlignment="1">
      <alignment horizontal="center" vertical="center" wrapText="1"/>
    </xf>
    <xf numFmtId="0" fontId="25" fillId="2" borderId="54" xfId="0" applyFont="1" applyFill="1" applyBorder="1" applyAlignment="1">
      <alignment horizontal="center" vertical="center" wrapText="1"/>
    </xf>
    <xf numFmtId="0" fontId="24" fillId="6" borderId="23" xfId="5" applyFont="1" applyFill="1" applyBorder="1" applyAlignment="1">
      <alignment horizontal="right" vertical="center" wrapText="1"/>
    </xf>
    <xf numFmtId="0" fontId="24" fillId="6" borderId="2" xfId="5" applyFont="1" applyFill="1" applyBorder="1" applyAlignment="1">
      <alignment horizontal="right" vertical="center" wrapText="1"/>
    </xf>
    <xf numFmtId="0" fontId="25" fillId="6" borderId="3" xfId="0" applyFont="1" applyFill="1" applyBorder="1" applyAlignment="1">
      <alignment horizontal="right" vertical="center" wrapText="1"/>
    </xf>
    <xf numFmtId="0" fontId="24" fillId="6" borderId="3" xfId="5" applyFont="1" applyFill="1" applyBorder="1" applyAlignment="1">
      <alignment horizontal="right" vertical="center" wrapText="1"/>
    </xf>
    <xf numFmtId="0" fontId="24" fillId="5" borderId="2" xfId="5" applyFont="1" applyFill="1" applyBorder="1" applyAlignment="1">
      <alignment horizontal="center" vertical="center"/>
    </xf>
    <xf numFmtId="0" fontId="24" fillId="5" borderId="3" xfId="5" applyFont="1" applyFill="1" applyBorder="1" applyAlignment="1">
      <alignment horizontal="center" vertical="center"/>
    </xf>
    <xf numFmtId="0" fontId="27" fillId="2" borderId="23" xfId="5" applyFont="1" applyFill="1" applyBorder="1" applyAlignment="1">
      <alignment horizontal="center" vertical="center" wrapText="1"/>
    </xf>
    <xf numFmtId="0" fontId="27" fillId="2" borderId="2" xfId="5" applyFont="1" applyFill="1" applyBorder="1" applyAlignment="1">
      <alignment horizontal="center" vertical="center" wrapText="1"/>
    </xf>
    <xf numFmtId="0" fontId="27" fillId="2" borderId="25" xfId="5" applyFont="1" applyFill="1" applyBorder="1" applyAlignment="1">
      <alignment horizontal="center" vertical="center" wrapText="1"/>
    </xf>
    <xf numFmtId="0" fontId="0" fillId="0" borderId="32" xfId="0" applyBorder="1" applyAlignment="1">
      <alignment horizontal="left" vertical="top"/>
    </xf>
    <xf numFmtId="0" fontId="0" fillId="0" borderId="0" xfId="0" applyAlignment="1">
      <alignment horizontal="left" vertical="top"/>
    </xf>
    <xf numFmtId="0" fontId="24" fillId="2" borderId="5" xfId="5" applyFont="1" applyFill="1" applyBorder="1" applyAlignment="1">
      <alignment horizontal="left" vertical="center" wrapText="1"/>
    </xf>
    <xf numFmtId="0" fontId="24" fillId="2" borderId="6" xfId="5" applyFont="1" applyFill="1" applyBorder="1" applyAlignment="1">
      <alignment horizontal="left" vertical="center" wrapText="1"/>
    </xf>
    <xf numFmtId="0" fontId="24" fillId="2" borderId="37" xfId="5" applyFont="1" applyFill="1" applyBorder="1" applyAlignment="1">
      <alignment horizontal="left" vertical="center" wrapText="1"/>
    </xf>
    <xf numFmtId="0" fontId="24" fillId="6" borderId="12" xfId="5" applyFont="1" applyFill="1" applyBorder="1" applyAlignment="1">
      <alignment horizontal="left" vertical="center" wrapText="1"/>
    </xf>
    <xf numFmtId="0" fontId="24" fillId="6" borderId="10" xfId="5" applyFont="1" applyFill="1" applyBorder="1" applyAlignment="1">
      <alignment horizontal="left" vertical="center" wrapText="1"/>
    </xf>
    <xf numFmtId="0" fontId="24" fillId="6" borderId="55" xfId="5" applyFont="1" applyFill="1" applyBorder="1" applyAlignment="1">
      <alignment horizontal="left" vertical="center" wrapText="1"/>
    </xf>
    <xf numFmtId="0" fontId="2" fillId="7" borderId="9" xfId="0" applyFont="1" applyFill="1" applyBorder="1" applyAlignment="1">
      <alignment horizontal="left"/>
    </xf>
    <xf numFmtId="0" fontId="2" fillId="7" borderId="35" xfId="0" applyFont="1" applyFill="1" applyBorder="1" applyAlignment="1">
      <alignment horizontal="left"/>
    </xf>
    <xf numFmtId="0" fontId="31" fillId="0" borderId="49"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4" fillId="2" borderId="23" xfId="5" applyFont="1" applyFill="1" applyBorder="1" applyAlignment="1">
      <alignment horizontal="center" vertical="center" wrapText="1"/>
    </xf>
    <xf numFmtId="0" fontId="24" fillId="2" borderId="2" xfId="5" applyFont="1" applyFill="1" applyBorder="1" applyAlignment="1">
      <alignment horizontal="left" vertical="center" wrapText="1"/>
    </xf>
    <xf numFmtId="0" fontId="24" fillId="2" borderId="3" xfId="5" applyFont="1" applyFill="1" applyBorder="1" applyAlignment="1">
      <alignment horizontal="left" vertical="center" wrapText="1"/>
    </xf>
    <xf numFmtId="0" fontId="25" fillId="2" borderId="49" xfId="0" applyFont="1" applyFill="1" applyBorder="1" applyAlignment="1">
      <alignment horizontal="left" vertical="center"/>
    </xf>
    <xf numFmtId="0" fontId="25" fillId="2" borderId="7" xfId="0" applyFont="1" applyFill="1" applyBorder="1" applyAlignment="1">
      <alignment horizontal="left" vertical="center"/>
    </xf>
    <xf numFmtId="0" fontId="25" fillId="2" borderId="50" xfId="0" applyFont="1" applyFill="1" applyBorder="1" applyAlignment="1">
      <alignment horizontal="left" vertical="center"/>
    </xf>
    <xf numFmtId="0" fontId="24" fillId="2" borderId="1" xfId="5" applyFont="1" applyFill="1" applyBorder="1" applyAlignment="1">
      <alignment horizontal="center" vertical="center"/>
    </xf>
    <xf numFmtId="0" fontId="0" fillId="0" borderId="32" xfId="0" applyBorder="1" applyAlignment="1">
      <alignment horizontal="center"/>
    </xf>
    <xf numFmtId="0" fontId="0" fillId="0" borderId="0" xfId="0" applyAlignment="1">
      <alignment horizontal="center"/>
    </xf>
    <xf numFmtId="0" fontId="0" fillId="0" borderId="32" xfId="0" applyBorder="1" applyAlignment="1">
      <alignment horizontal="left"/>
    </xf>
    <xf numFmtId="0" fontId="0" fillId="0" borderId="0" xfId="0" applyAlignment="1">
      <alignment horizontal="left"/>
    </xf>
    <xf numFmtId="0" fontId="33" fillId="8" borderId="1" xfId="0" applyFont="1" applyFill="1" applyBorder="1" applyAlignment="1">
      <alignment horizontal="left" vertical="center" wrapText="1"/>
    </xf>
    <xf numFmtId="0" fontId="33" fillId="8" borderId="51" xfId="0" applyFont="1" applyFill="1" applyBorder="1" applyAlignment="1">
      <alignment horizontal="left" vertical="center" wrapText="1"/>
    </xf>
    <xf numFmtId="0" fontId="2" fillId="7" borderId="44" xfId="0" applyFont="1" applyFill="1" applyBorder="1" applyAlignment="1">
      <alignment horizontal="left"/>
    </xf>
    <xf numFmtId="0" fontId="2" fillId="7" borderId="45" xfId="0" applyFont="1" applyFill="1" applyBorder="1" applyAlignment="1">
      <alignment horizontal="left"/>
    </xf>
    <xf numFmtId="0" fontId="31"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9" fontId="29" fillId="8" borderId="52" xfId="0" applyNumberFormat="1" applyFont="1" applyFill="1" applyBorder="1" applyAlignment="1">
      <alignment horizontal="left" vertical="center"/>
    </xf>
    <xf numFmtId="9" fontId="29" fillId="8" borderId="53" xfId="0" applyNumberFormat="1" applyFont="1" applyFill="1" applyBorder="1" applyAlignment="1">
      <alignment horizontal="left" vertical="center"/>
    </xf>
    <xf numFmtId="0" fontId="22" fillId="15" borderId="9" xfId="0" applyFont="1" applyFill="1" applyBorder="1" applyAlignment="1">
      <alignment horizontal="center" vertical="center"/>
    </xf>
    <xf numFmtId="0" fontId="22" fillId="15" borderId="35" xfId="0" applyFont="1" applyFill="1" applyBorder="1" applyAlignment="1">
      <alignment horizontal="center" vertical="center"/>
    </xf>
    <xf numFmtId="0" fontId="22" fillId="15" borderId="11" xfId="0" applyFont="1" applyFill="1" applyBorder="1" applyAlignment="1">
      <alignment horizontal="center" vertical="center"/>
    </xf>
    <xf numFmtId="0" fontId="21" fillId="0" borderId="69" xfId="0" applyFont="1" applyBorder="1" applyAlignment="1">
      <alignment horizontal="center" vertical="center"/>
    </xf>
    <xf numFmtId="0" fontId="21" fillId="0" borderId="70" xfId="0" applyFont="1" applyBorder="1" applyAlignment="1">
      <alignment horizontal="center" vertical="center"/>
    </xf>
    <xf numFmtId="0" fontId="20" fillId="0" borderId="26" xfId="0" applyFont="1" applyBorder="1" applyAlignment="1">
      <alignment horizontal="left" vertical="center" wrapText="1"/>
    </xf>
    <xf numFmtId="0" fontId="20" fillId="0" borderId="4" xfId="0" applyFont="1" applyBorder="1" applyAlignment="1">
      <alignment horizontal="left" vertical="center" wrapText="1"/>
    </xf>
    <xf numFmtId="43" fontId="21" fillId="0" borderId="70" xfId="7" applyFont="1" applyBorder="1" applyAlignment="1">
      <alignment horizontal="center" vertical="center" wrapText="1"/>
    </xf>
    <xf numFmtId="43" fontId="21" fillId="0" borderId="71" xfId="7" applyFont="1" applyBorder="1" applyAlignment="1">
      <alignment horizontal="center" vertical="center" wrapText="1"/>
    </xf>
    <xf numFmtId="165" fontId="20" fillId="0" borderId="4" xfId="0" applyNumberFormat="1" applyFont="1" applyBorder="1" applyAlignment="1">
      <alignment horizontal="right" vertical="center"/>
    </xf>
    <xf numFmtId="166" fontId="20" fillId="0" borderId="4" xfId="7" applyNumberFormat="1" applyFont="1" applyBorder="1" applyAlignment="1">
      <alignment horizontal="center" vertical="center"/>
    </xf>
    <xf numFmtId="166" fontId="20" fillId="0" borderId="24" xfId="7" applyNumberFormat="1" applyFont="1" applyBorder="1" applyAlignment="1">
      <alignment horizontal="center" vertical="center"/>
    </xf>
    <xf numFmtId="166" fontId="21" fillId="0" borderId="4" xfId="7" applyNumberFormat="1" applyFont="1" applyBorder="1" applyAlignment="1">
      <alignment horizontal="center" vertical="center"/>
    </xf>
    <xf numFmtId="166" fontId="21" fillId="0" borderId="24" xfId="7" applyNumberFormat="1" applyFont="1" applyBorder="1" applyAlignment="1">
      <alignment horizontal="center" vertical="center"/>
    </xf>
    <xf numFmtId="0" fontId="21" fillId="0" borderId="26" xfId="0" applyFont="1" applyBorder="1" applyAlignment="1">
      <alignment horizontal="center" vertical="center"/>
    </xf>
    <xf numFmtId="0" fontId="21" fillId="0" borderId="4" xfId="0" applyFont="1" applyBorder="1" applyAlignment="1">
      <alignment horizontal="center" vertical="center"/>
    </xf>
    <xf numFmtId="165" fontId="20" fillId="0" borderId="4" xfId="0" applyNumberFormat="1" applyFont="1" applyBorder="1" applyAlignment="1">
      <alignment horizontal="center" vertical="center"/>
    </xf>
    <xf numFmtId="43" fontId="21" fillId="0" borderId="70" xfId="7" applyFont="1" applyBorder="1" applyAlignment="1">
      <alignment horizontal="center" vertical="center"/>
    </xf>
    <xf numFmtId="0" fontId="21" fillId="15" borderId="27" xfId="0" applyFont="1" applyFill="1" applyBorder="1" applyAlignment="1">
      <alignment horizontal="center" vertical="center" wrapText="1"/>
    </xf>
    <xf numFmtId="0" fontId="21" fillId="15" borderId="6" xfId="0" applyFont="1" applyFill="1" applyBorder="1" applyAlignment="1">
      <alignment horizontal="center" vertical="center" wrapText="1"/>
    </xf>
    <xf numFmtId="0" fontId="21" fillId="15" borderId="28" xfId="0" applyFont="1" applyFill="1" applyBorder="1" applyAlignment="1">
      <alignment horizontal="center" vertical="center" wrapText="1"/>
    </xf>
    <xf numFmtId="0" fontId="20" fillId="2" borderId="26" xfId="0" applyFont="1" applyFill="1" applyBorder="1" applyAlignment="1">
      <alignment horizontal="left" vertical="center" wrapText="1"/>
    </xf>
    <xf numFmtId="0" fontId="20" fillId="2" borderId="4" xfId="0" applyFont="1" applyFill="1" applyBorder="1" applyAlignment="1">
      <alignment horizontal="left" vertical="center" wrapText="1"/>
    </xf>
    <xf numFmtId="0" fontId="21" fillId="0" borderId="30" xfId="0" applyFont="1" applyBorder="1" applyAlignment="1">
      <alignment horizontal="center" vertical="center"/>
    </xf>
    <xf numFmtId="0" fontId="21" fillId="0" borderId="60" xfId="0" applyFont="1" applyBorder="1" applyAlignment="1">
      <alignment horizontal="center" vertical="center"/>
    </xf>
    <xf numFmtId="166" fontId="21" fillId="0" borderId="60" xfId="7" applyNumberFormat="1" applyFont="1" applyBorder="1" applyAlignment="1">
      <alignment horizontal="center" vertical="center"/>
    </xf>
    <xf numFmtId="166" fontId="21" fillId="0" borderId="31" xfId="7" applyNumberFormat="1" applyFont="1" applyBorder="1" applyAlignment="1">
      <alignment horizontal="center" vertical="center"/>
    </xf>
    <xf numFmtId="0" fontId="21" fillId="0" borderId="9" xfId="0" applyFont="1" applyBorder="1" applyAlignment="1">
      <alignment horizontal="center" vertical="center"/>
    </xf>
    <xf numFmtId="0" fontId="21" fillId="0" borderId="35" xfId="0" applyFont="1" applyBorder="1" applyAlignment="1">
      <alignment horizontal="center" vertical="center"/>
    </xf>
    <xf numFmtId="43" fontId="21" fillId="0" borderId="35" xfId="7" applyFont="1" applyBorder="1" applyAlignment="1">
      <alignment horizontal="center" vertical="center"/>
    </xf>
    <xf numFmtId="43" fontId="21" fillId="0" borderId="81" xfId="7" applyFont="1" applyBorder="1" applyAlignment="1">
      <alignment horizontal="center" vertical="center"/>
    </xf>
    <xf numFmtId="0" fontId="20" fillId="2" borderId="69" xfId="0" applyFont="1" applyFill="1" applyBorder="1" applyAlignment="1">
      <alignment horizontal="left" vertical="center" wrapText="1"/>
    </xf>
    <xf numFmtId="0" fontId="20" fillId="2" borderId="70" xfId="0" applyFont="1" applyFill="1" applyBorder="1" applyAlignment="1">
      <alignment horizontal="left" vertical="center" wrapText="1"/>
    </xf>
    <xf numFmtId="165" fontId="20" fillId="0" borderId="70" xfId="0" applyNumberFormat="1" applyFont="1" applyBorder="1" applyAlignment="1">
      <alignment horizontal="right" vertical="center"/>
    </xf>
    <xf numFmtId="166" fontId="20" fillId="0" borderId="70" xfId="7" applyNumberFormat="1" applyFont="1" applyBorder="1" applyAlignment="1">
      <alignment horizontal="center" vertical="center"/>
    </xf>
    <xf numFmtId="0" fontId="20" fillId="0" borderId="81" xfId="0" applyFont="1" applyBorder="1" applyAlignment="1">
      <alignment horizontal="center" vertical="center"/>
    </xf>
    <xf numFmtId="0" fontId="20" fillId="0" borderId="55" xfId="0" applyFont="1" applyBorder="1" applyAlignment="1">
      <alignment horizontal="center" vertical="center"/>
    </xf>
    <xf numFmtId="43" fontId="20" fillId="0" borderId="81" xfId="7" applyFont="1" applyBorder="1" applyAlignment="1">
      <alignment vertical="center"/>
    </xf>
    <xf numFmtId="43" fontId="20" fillId="0" borderId="55" xfId="7" applyFont="1" applyBorder="1" applyAlignment="1">
      <alignment vertical="center"/>
    </xf>
    <xf numFmtId="166" fontId="21" fillId="0" borderId="35" xfId="7" applyNumberFormat="1" applyFont="1" applyBorder="1" applyAlignment="1">
      <alignment horizontal="center" vertical="center"/>
    </xf>
    <xf numFmtId="166" fontId="21" fillId="0" borderId="11" xfId="7" applyNumberFormat="1" applyFont="1" applyBorder="1" applyAlignment="1">
      <alignment horizontal="center" vertical="center"/>
    </xf>
    <xf numFmtId="0" fontId="20" fillId="2" borderId="30" xfId="0" applyFont="1" applyFill="1" applyBorder="1" applyAlignment="1">
      <alignment horizontal="left" vertical="center" wrapText="1"/>
    </xf>
    <xf numFmtId="0" fontId="20" fillId="2" borderId="60" xfId="0" applyFont="1" applyFill="1" applyBorder="1" applyAlignment="1">
      <alignment horizontal="left" vertical="center" wrapText="1"/>
    </xf>
    <xf numFmtId="165" fontId="20" fillId="0" borderId="60" xfId="0" applyNumberFormat="1" applyFont="1" applyBorder="1" applyAlignment="1">
      <alignment horizontal="center" vertical="center"/>
    </xf>
    <xf numFmtId="166" fontId="20" fillId="0" borderId="60" xfId="7" applyNumberFormat="1" applyFont="1" applyBorder="1" applyAlignment="1">
      <alignment horizontal="center" vertical="center"/>
    </xf>
    <xf numFmtId="0" fontId="20" fillId="2" borderId="23" xfId="0" applyFont="1" applyFill="1" applyBorder="1" applyAlignment="1">
      <alignment horizontal="left" vertical="center" wrapText="1"/>
    </xf>
    <xf numFmtId="0" fontId="20" fillId="2" borderId="3" xfId="0" applyFont="1" applyFill="1" applyBorder="1" applyAlignment="1">
      <alignment horizontal="left" vertical="center" wrapText="1"/>
    </xf>
    <xf numFmtId="165" fontId="20" fillId="0" borderId="1" xfId="0" applyNumberFormat="1" applyFont="1" applyBorder="1" applyAlignment="1">
      <alignment horizontal="center" vertical="center"/>
    </xf>
    <xf numFmtId="165" fontId="20" fillId="0" borderId="3" xfId="0" applyNumberFormat="1" applyFont="1" applyBorder="1" applyAlignment="1">
      <alignment horizontal="center" vertical="center"/>
    </xf>
    <xf numFmtId="166" fontId="20" fillId="0" borderId="1" xfId="7" applyNumberFormat="1" applyFont="1" applyBorder="1" applyAlignment="1">
      <alignment horizontal="center" vertical="center"/>
    </xf>
    <xf numFmtId="166" fontId="20" fillId="0" borderId="3" xfId="7" applyNumberFormat="1" applyFont="1" applyBorder="1" applyAlignment="1">
      <alignment horizontal="center" vertical="center"/>
    </xf>
    <xf numFmtId="0" fontId="21" fillId="12" borderId="27" xfId="0" applyFont="1" applyFill="1" applyBorder="1" applyAlignment="1">
      <alignment horizontal="center" vertical="center" wrapText="1"/>
    </xf>
    <xf numFmtId="0" fontId="21" fillId="12" borderId="6" xfId="0" applyFont="1" applyFill="1" applyBorder="1" applyAlignment="1">
      <alignment horizontal="center" vertical="center" wrapText="1"/>
    </xf>
    <xf numFmtId="0" fontId="21" fillId="12" borderId="28" xfId="0" applyFont="1" applyFill="1" applyBorder="1" applyAlignment="1">
      <alignment horizontal="center" vertical="center" wrapText="1"/>
    </xf>
    <xf numFmtId="0" fontId="21" fillId="0" borderId="12" xfId="0" applyFont="1" applyBorder="1" applyAlignment="1">
      <alignment horizontal="center" vertical="center"/>
    </xf>
    <xf numFmtId="0" fontId="21" fillId="0" borderId="10" xfId="0" applyFont="1" applyBorder="1" applyAlignment="1">
      <alignment horizontal="center" vertical="center"/>
    </xf>
    <xf numFmtId="0" fontId="21" fillId="0" borderId="55" xfId="0" applyFont="1" applyBorder="1" applyAlignment="1">
      <alignment horizontal="center" vertical="center"/>
    </xf>
    <xf numFmtId="0" fontId="20" fillId="0" borderId="23" xfId="0" applyFont="1" applyBorder="1" applyAlignment="1">
      <alignment horizontal="left" vertical="center" wrapText="1"/>
    </xf>
    <xf numFmtId="0" fontId="20" fillId="0" borderId="3" xfId="0" applyFont="1" applyBorder="1" applyAlignment="1">
      <alignment horizontal="left" vertical="center" wrapText="1"/>
    </xf>
    <xf numFmtId="43" fontId="21" fillId="0" borderId="1" xfId="7" applyFont="1" applyBorder="1" applyAlignment="1">
      <alignment horizontal="center" vertical="center"/>
    </xf>
    <xf numFmtId="43" fontId="21" fillId="0" borderId="3" xfId="7" applyFont="1" applyBorder="1" applyAlignment="1">
      <alignment horizontal="center" vertical="center"/>
    </xf>
    <xf numFmtId="0" fontId="21" fillId="0" borderId="23" xfId="0" applyFont="1" applyBorder="1" applyAlignment="1">
      <alignment horizontal="center" vertical="center"/>
    </xf>
    <xf numFmtId="0" fontId="21" fillId="0" borderId="2" xfId="0" applyFont="1" applyBorder="1" applyAlignment="1">
      <alignment horizontal="center" vertical="center"/>
    </xf>
    <xf numFmtId="0" fontId="21" fillId="0" borderId="3" xfId="0" applyFont="1" applyBorder="1" applyAlignment="1">
      <alignment horizontal="center" vertical="center"/>
    </xf>
    <xf numFmtId="0" fontId="22" fillId="4" borderId="26" xfId="0" applyFont="1" applyFill="1" applyBorder="1" applyAlignment="1">
      <alignment horizontal="center" vertical="center"/>
    </xf>
    <xf numFmtId="0" fontId="22" fillId="4" borderId="4" xfId="0" applyFont="1" applyFill="1" applyBorder="1" applyAlignment="1">
      <alignment horizontal="center" vertical="center"/>
    </xf>
    <xf numFmtId="0" fontId="22" fillId="4" borderId="24" xfId="0" applyFont="1" applyFill="1" applyBorder="1" applyAlignment="1">
      <alignment horizontal="center" vertical="center"/>
    </xf>
    <xf numFmtId="165" fontId="20" fillId="0" borderId="1" xfId="0" applyNumberFormat="1" applyFont="1" applyBorder="1" applyAlignment="1">
      <alignment horizontal="right" vertical="center"/>
    </xf>
    <xf numFmtId="165" fontId="20" fillId="0" borderId="3" xfId="0" applyNumberFormat="1" applyFont="1" applyBorder="1" applyAlignment="1">
      <alignment horizontal="right" vertical="center"/>
    </xf>
    <xf numFmtId="0" fontId="22" fillId="4" borderId="61" xfId="0" applyFont="1" applyFill="1" applyBorder="1" applyAlignment="1">
      <alignment horizontal="center" vertical="center"/>
    </xf>
    <xf numFmtId="0" fontId="22" fillId="4" borderId="36" xfId="0" applyFont="1" applyFill="1" applyBorder="1" applyAlignment="1">
      <alignment horizontal="center" vertical="center"/>
    </xf>
    <xf numFmtId="0" fontId="22" fillId="4" borderId="62" xfId="0" applyFont="1" applyFill="1" applyBorder="1" applyAlignment="1">
      <alignment horizontal="center" vertical="center"/>
    </xf>
    <xf numFmtId="0" fontId="21" fillId="0" borderId="1" xfId="0" applyFont="1" applyBorder="1" applyAlignment="1">
      <alignment horizontal="center" vertical="center"/>
    </xf>
    <xf numFmtId="43" fontId="21" fillId="0" borderId="1" xfId="7" applyFont="1" applyBorder="1" applyAlignment="1">
      <alignment horizontal="center" vertical="center" wrapText="1"/>
    </xf>
    <xf numFmtId="43" fontId="21" fillId="0" borderId="3" xfId="7" applyFont="1" applyBorder="1" applyAlignment="1">
      <alignment horizontal="center" vertical="center" wrapText="1"/>
    </xf>
    <xf numFmtId="166" fontId="21" fillId="0" borderId="1" xfId="7" applyNumberFormat="1" applyFont="1" applyBorder="1" applyAlignment="1">
      <alignment horizontal="center" vertical="center"/>
    </xf>
    <xf numFmtId="166" fontId="21" fillId="0" borderId="25" xfId="7" applyNumberFormat="1" applyFont="1" applyBorder="1" applyAlignment="1">
      <alignment horizontal="center" vertical="center"/>
    </xf>
    <xf numFmtId="0" fontId="22" fillId="4" borderId="9" xfId="0" applyFont="1" applyFill="1" applyBorder="1" applyAlignment="1">
      <alignment horizontal="center" vertical="center"/>
    </xf>
    <xf numFmtId="0" fontId="22" fillId="4" borderId="35" xfId="0" applyFont="1" applyFill="1" applyBorder="1" applyAlignment="1">
      <alignment horizontal="center" vertical="center"/>
    </xf>
    <xf numFmtId="0" fontId="22" fillId="4" borderId="11" xfId="0" applyFont="1" applyFill="1" applyBorder="1" applyAlignment="1">
      <alignment horizontal="center" vertical="center"/>
    </xf>
    <xf numFmtId="43" fontId="21" fillId="0" borderId="4" xfId="7" applyFont="1" applyBorder="1" applyAlignment="1">
      <alignment horizontal="center" vertical="center" wrapText="1"/>
    </xf>
    <xf numFmtId="43" fontId="21" fillId="0" borderId="24" xfId="7" applyFont="1" applyBorder="1" applyAlignment="1">
      <alignment horizontal="center" vertical="center" wrapText="1"/>
    </xf>
    <xf numFmtId="0" fontId="19" fillId="4" borderId="4" xfId="3" applyFont="1" applyFill="1" applyBorder="1" applyAlignment="1">
      <alignment horizontal="center" vertical="center" wrapText="1"/>
    </xf>
    <xf numFmtId="0" fontId="24" fillId="11" borderId="4" xfId="3" applyFont="1" applyFill="1" applyBorder="1" applyAlignment="1">
      <alignment horizontal="center" vertical="center"/>
    </xf>
    <xf numFmtId="0" fontId="31" fillId="11" borderId="1" xfId="0" applyFont="1" applyFill="1" applyBorder="1" applyAlignment="1">
      <alignment horizontal="center" wrapText="1"/>
    </xf>
    <xf numFmtId="0" fontId="2" fillId="11" borderId="2" xfId="0" applyFont="1" applyFill="1" applyBorder="1" applyAlignment="1">
      <alignment horizontal="center" wrapText="1"/>
    </xf>
    <xf numFmtId="0" fontId="2" fillId="11" borderId="3" xfId="0" applyFont="1" applyFill="1" applyBorder="1" applyAlignment="1">
      <alignment horizontal="center" wrapText="1"/>
    </xf>
    <xf numFmtId="0" fontId="24" fillId="11" borderId="26" xfId="3" applyFont="1" applyFill="1" applyBorder="1" applyAlignment="1">
      <alignment horizontal="center" vertical="center"/>
    </xf>
    <xf numFmtId="0" fontId="24" fillId="11" borderId="24" xfId="3" applyFont="1" applyFill="1" applyBorder="1" applyAlignment="1">
      <alignment horizontal="center" vertical="center"/>
    </xf>
    <xf numFmtId="0" fontId="31" fillId="11" borderId="23" xfId="0" applyFont="1" applyFill="1" applyBorder="1" applyAlignment="1">
      <alignment horizontal="center" wrapText="1"/>
    </xf>
    <xf numFmtId="0" fontId="2" fillId="11" borderId="25" xfId="0" applyFont="1" applyFill="1" applyBorder="1" applyAlignment="1">
      <alignment horizontal="center" wrapText="1"/>
    </xf>
  </cellXfs>
  <cellStyles count="9">
    <cellStyle name="Hiperlink" xfId="6" builtinId="8"/>
    <cellStyle name="Moeda" xfId="1" builtinId="4"/>
    <cellStyle name="Normal" xfId="0" builtinId="0"/>
    <cellStyle name="Normal 2" xfId="5"/>
    <cellStyle name="Normal 4" xfId="3"/>
    <cellStyle name="Normal 5" xfId="4"/>
    <cellStyle name="Porcentagem" xfId="2" builtinId="5"/>
    <cellStyle name="Porcentagem 2" xfId="8"/>
    <cellStyle name="Vírgula" xfId="7" builtinId="3"/>
  </cellStyles>
  <dxfs count="6">
    <dxf>
      <font>
        <b/>
        <i val="0"/>
        <strike val="0"/>
        <condense val="0"/>
        <extend val="0"/>
        <outline val="0"/>
        <shadow val="0"/>
        <u val="none"/>
        <vertAlign val="baseline"/>
        <sz val="14"/>
        <color indexed="10"/>
        <name val="Trebuchet MS"/>
        <scheme val="none"/>
      </font>
      <fill>
        <patternFill patternType="none">
          <fgColor indexed="64"/>
          <bgColor indexed="65"/>
        </patternFill>
      </fill>
      <alignment horizontal="justify" vertical="center" textRotation="0" wrapText="1" indent="0" justifyLastLine="0" shrinkToFit="0" readingOrder="0"/>
      <border diagonalUp="0" diagonalDown="0">
        <left style="medium">
          <color indexed="64"/>
        </left>
        <right/>
        <top style="medium">
          <color indexed="64"/>
        </top>
        <bottom style="medium">
          <color indexed="64"/>
        </bottom>
        <vertical/>
        <horizontal/>
      </border>
    </dxf>
    <dxf>
      <font>
        <b/>
        <i val="0"/>
        <strike val="0"/>
        <condense val="0"/>
        <extend val="0"/>
        <outline val="0"/>
        <shadow val="0"/>
        <u val="none"/>
        <vertAlign val="baseline"/>
        <sz val="14"/>
        <color indexed="10"/>
        <name val="Trebuchet MS"/>
        <scheme val="none"/>
      </font>
      <fill>
        <patternFill patternType="none">
          <fgColor indexed="64"/>
          <bgColor indexed="65"/>
        </patternFill>
      </fill>
      <alignment horizontal="justify" vertical="center" textRotation="0" wrapText="1" indent="0" justifyLastLine="0" shrinkToFit="0" readingOrder="0"/>
      <border diagonalUp="0" diagonalDown="0">
        <left/>
        <right style="medium">
          <color indexed="64"/>
        </right>
        <top style="medium">
          <color indexed="64"/>
        </top>
        <bottom style="medium">
          <color indexed="64"/>
        </bottom>
        <vertical/>
        <horizontal/>
      </border>
    </dxf>
    <dxf>
      <border outline="0">
        <top style="medium">
          <color indexed="64"/>
        </top>
      </border>
    </dxf>
    <dxf>
      <border outline="0">
        <left style="medium">
          <color indexed="64"/>
        </left>
        <right style="medium">
          <color indexed="64"/>
        </right>
        <top style="medium">
          <color indexed="64"/>
        </top>
        <bottom style="medium">
          <color indexed="64"/>
        </bottom>
      </border>
    </dxf>
    <dxf>
      <border outline="0">
        <bottom style="medium">
          <color indexed="64"/>
        </bottom>
      </border>
    </dxf>
    <dxf>
      <font>
        <b/>
        <i val="0"/>
        <strike val="0"/>
        <condense val="0"/>
        <extend val="0"/>
        <outline val="0"/>
        <shadow val="0"/>
        <u val="none"/>
        <vertAlign val="baseline"/>
        <sz val="14"/>
        <color indexed="10"/>
        <name val="Trebuchet MS"/>
        <scheme val="none"/>
      </font>
      <fill>
        <patternFill patternType="none">
          <fgColor indexed="64"/>
          <bgColor indexed="65"/>
        </patternFill>
      </fill>
      <alignment horizontal="justify" vertical="center" textRotation="0" wrapText="1" indent="0" justifyLastLine="0" shrinkToFit="0" readingOrder="0"/>
      <border diagonalUp="0" diagonalDown="0" outline="0">
        <left style="medium">
          <color indexed="64"/>
        </left>
        <right style="medium">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id="1" name="Tabela2" displayName="Tabela2" ref="A3:B22" totalsRowShown="0" headerRowDxfId="5" headerRowBorderDxfId="4" tableBorderDxfId="3" totalsRowBorderDxfId="2">
  <autoFilter ref="A3:B22"/>
  <tableColumns count="2">
    <tableColumn id="1" name="Colunas1" dataDxfId="1"/>
    <tableColumn id="2" name="Colunas2" dataDxfId="0"/>
  </tableColumns>
  <tableStyleInfo name="TableStyleLight5" showFirstColumn="0" showLastColumn="0" showRowStripes="1" showColumnStripes="0"/>
</table>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AppData/Local/Temp/17%20Instrucao%20Normativa%2002_2008%20Servicos%20Continuados/0%20LEGISLACAO%20GERAL/IN%2003_2005%20MSP_SRP/AnexoII_IN03.rtf" TargetMode="Externa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AppData/Local/Temp/17%20Instrucao%20Normativa%2002_2008%20Servicos%20Continuados/0%20LEGISLACAO%20GERAL/IN%2003_2005%20MSP_SRP/AnexoII_IN03.rtf"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2.bin"/><Relationship Id="rId1" Type="http://schemas.openxmlformats.org/officeDocument/2006/relationships/hyperlink" Target="../../../../../../../../../../../../../../../../../../../../../AppData/Local/Temp/17%20Instrucao%20Normativa%2002_2008%20Servicos%20Continuados/0%20LEGISLACAO%20GERAL/IN%2003_2005%20MSP_SRP/AnexoII_IN03.rtf" TargetMode="External"/><Relationship Id="rId4" Type="http://schemas.openxmlformats.org/officeDocument/2006/relationships/comments" Target="../comments7.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3.bin"/><Relationship Id="rId1" Type="http://schemas.openxmlformats.org/officeDocument/2006/relationships/hyperlink" Target="../../../../../../../../../../../../../../../../../../../../../AppData/Local/Temp/17%20Instrucao%20Normativa%2002_2008%20Servicos%20Continuados/0%20LEGISLACAO%20GERAL/IN%2003_2005%20MSP_SRP/AnexoII_IN03.rtf" TargetMode="External"/><Relationship Id="rId4" Type="http://schemas.openxmlformats.org/officeDocument/2006/relationships/comments" Target="../comments8.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AppData/Local/Temp/17%20Instrucao%20Normativa%2002_2008%20Servicos%20Continuados/0%20LEGISLACAO%20GERAL/IN%2003_2005%20MSP_SRP/AnexoII_IN03.rtf" TargetMode="External"/><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bin"/><Relationship Id="rId1" Type="http://schemas.openxmlformats.org/officeDocument/2006/relationships/hyperlink" Target="../../../../../../../../../../../../../../../../../../../../../AppData/Local/Temp/17%20Instrucao%20Normativa%2002_2008%20Servicos%20Continuados/0%20LEGISLACAO%20GERAL/IN%2003_2005%20MSP_SRP/AnexoII_IN03.rtf" TargetMode="External"/><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4.bin"/><Relationship Id="rId1" Type="http://schemas.openxmlformats.org/officeDocument/2006/relationships/hyperlink" Target="../../../../../../../../../../../../../../../../../../../../../AppData/Local/Temp/17%20Instrucao%20Normativa%2002_2008%20Servicos%20Continuados/0%20LEGISLACAO%20GERAL/IN%2003_2005%20MSP_SRP/AnexoII_IN03.rtf" TargetMode="External"/><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5.bin"/><Relationship Id="rId1" Type="http://schemas.openxmlformats.org/officeDocument/2006/relationships/hyperlink" Target="../../../../../../../../../../../../../../../../../../../../../AppData/Local/Temp/17%20Instrucao%20Normativa%2002_2008%20Servicos%20Continuados/0%20LEGISLACAO%20GERAL/IN%2003_2005%20MSP_SRP/AnexoII_IN03.rtf" TargetMode="External"/><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6.bin"/><Relationship Id="rId1" Type="http://schemas.openxmlformats.org/officeDocument/2006/relationships/hyperlink" Target="../../../../../../../../../../../../../../../../../../../../../AppData/Local/Temp/17%20Instrucao%20Normativa%2002_2008%20Servicos%20Continuados/0%20LEGISLACAO%20GERAL/IN%2003_2005%20MSP_SRP/AnexoII_IN03.rtf" TargetMode="External"/><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7.bin"/><Relationship Id="rId1" Type="http://schemas.openxmlformats.org/officeDocument/2006/relationships/hyperlink" Target="../../../../../../../../../../../../../../../../../../../../../AppData/Local/Temp/17%20Instrucao%20Normativa%2002_2008%20Servicos%20Continuados/0%20LEGISLACAO%20GERAL/IN%2003_2005%20MSP_SRP/AnexoII_IN03.rtf" TargetMode="External"/><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topLeftCell="B1" zoomScale="145" zoomScaleNormal="145" workbookViewId="0">
      <selection activeCell="E8" sqref="E8"/>
    </sheetView>
  </sheetViews>
  <sheetFormatPr defaultRowHeight="15" x14ac:dyDescent="0.25"/>
  <cols>
    <col min="1" max="1" width="33.85546875" customWidth="1"/>
    <col min="2" max="2" width="15.42578125" customWidth="1"/>
    <col min="3" max="3" width="19.28515625" customWidth="1"/>
    <col min="5" max="5" width="59" customWidth="1"/>
  </cols>
  <sheetData>
    <row r="1" spans="1:5" ht="22.5" x14ac:dyDescent="0.25">
      <c r="E1" s="1" t="s">
        <v>47</v>
      </c>
    </row>
    <row r="2" spans="1:5" ht="21" x14ac:dyDescent="0.35">
      <c r="A2" s="255" t="s">
        <v>48</v>
      </c>
      <c r="B2" s="255"/>
      <c r="C2" s="255"/>
      <c r="E2" s="2" t="s">
        <v>49</v>
      </c>
    </row>
    <row r="3" spans="1:5" ht="174" customHeight="1" x14ac:dyDescent="0.3">
      <c r="A3" s="254" t="s">
        <v>50</v>
      </c>
      <c r="B3" s="254"/>
      <c r="C3" s="254"/>
      <c r="E3" s="4" t="s">
        <v>51</v>
      </c>
    </row>
    <row r="4" spans="1:5" ht="18.75" customHeight="1" thickBot="1" x14ac:dyDescent="0.35">
      <c r="A4" s="5"/>
      <c r="E4" s="6"/>
    </row>
    <row r="5" spans="1:5" ht="15.75" customHeight="1" thickBot="1" x14ac:dyDescent="0.3">
      <c r="A5" s="256" t="s">
        <v>52</v>
      </c>
      <c r="B5" s="257"/>
      <c r="C5" s="258"/>
      <c r="E5" s="7" t="s">
        <v>53</v>
      </c>
    </row>
    <row r="6" spans="1:5" ht="22.5" x14ac:dyDescent="0.25">
      <c r="A6" s="259" t="s">
        <v>54</v>
      </c>
      <c r="B6" s="259" t="s">
        <v>55</v>
      </c>
      <c r="C6" s="8" t="s">
        <v>56</v>
      </c>
      <c r="E6" s="7" t="s">
        <v>57</v>
      </c>
    </row>
    <row r="7" spans="1:5" ht="15.75" customHeight="1" thickBot="1" x14ac:dyDescent="0.3">
      <c r="A7" s="260"/>
      <c r="B7" s="260"/>
      <c r="C7" s="9" t="s">
        <v>58</v>
      </c>
      <c r="E7" s="7" t="s">
        <v>59</v>
      </c>
    </row>
    <row r="8" spans="1:5" ht="15.75" thickBot="1" x14ac:dyDescent="0.3">
      <c r="A8" s="10" t="s">
        <v>60</v>
      </c>
      <c r="B8" s="8">
        <v>30</v>
      </c>
      <c r="C8" s="8">
        <v>7</v>
      </c>
      <c r="D8">
        <f>(7/30)/12</f>
        <v>1.94444444444444E-2</v>
      </c>
      <c r="E8" s="11" t="s">
        <v>61</v>
      </c>
    </row>
    <row r="9" spans="1:5" ht="13.5" customHeight="1" x14ac:dyDescent="0.25">
      <c r="A9" s="12" t="s">
        <v>62</v>
      </c>
      <c r="B9" s="13">
        <v>33</v>
      </c>
      <c r="C9" s="13">
        <v>8</v>
      </c>
      <c r="D9">
        <f>(3/30)/12</f>
        <v>8.3333333333333297E-3</v>
      </c>
    </row>
    <row r="10" spans="1:5" ht="13.5" customHeight="1" x14ac:dyDescent="0.25">
      <c r="A10" s="12" t="s">
        <v>63</v>
      </c>
      <c r="B10" s="13">
        <v>36</v>
      </c>
      <c r="C10" s="13">
        <v>8</v>
      </c>
      <c r="D10">
        <f>(3/30)/12</f>
        <v>8.3333333333333297E-3</v>
      </c>
    </row>
    <row r="11" spans="1:5" ht="13.5" customHeight="1" x14ac:dyDescent="0.25">
      <c r="A11" s="12" t="s">
        <v>64</v>
      </c>
      <c r="B11" s="13">
        <v>39</v>
      </c>
      <c r="C11" s="13">
        <v>9</v>
      </c>
      <c r="D11">
        <f>(3/30)/12</f>
        <v>8.3333333333333297E-3</v>
      </c>
    </row>
    <row r="12" spans="1:5" ht="13.5" customHeight="1" x14ac:dyDescent="0.25">
      <c r="A12" s="14" t="s">
        <v>65</v>
      </c>
      <c r="B12" s="15">
        <v>42</v>
      </c>
      <c r="C12" s="15">
        <v>10</v>
      </c>
      <c r="D12">
        <f>(3/30)/12</f>
        <v>8.3333333333333297E-3</v>
      </c>
    </row>
    <row r="13" spans="1:5" ht="13.5" customHeight="1" x14ac:dyDescent="0.25">
      <c r="A13" s="12" t="s">
        <v>66</v>
      </c>
      <c r="B13" s="13">
        <v>45</v>
      </c>
      <c r="C13" s="13">
        <v>11</v>
      </c>
      <c r="D13">
        <f>(3/30)/12</f>
        <v>8.3333333333333297E-3</v>
      </c>
      <c r="E13" t="s">
        <v>88</v>
      </c>
    </row>
    <row r="14" spans="1:5" x14ac:dyDescent="0.25">
      <c r="A14" s="12" t="s">
        <v>67</v>
      </c>
      <c r="B14" s="13">
        <v>48</v>
      </c>
      <c r="C14" s="13">
        <v>11</v>
      </c>
      <c r="E14" t="s">
        <v>46</v>
      </c>
    </row>
    <row r="15" spans="1:5" x14ac:dyDescent="0.25">
      <c r="A15" s="12" t="s">
        <v>68</v>
      </c>
      <c r="B15" s="13">
        <v>51</v>
      </c>
      <c r="C15" s="13">
        <v>12</v>
      </c>
    </row>
    <row r="16" spans="1:5" x14ac:dyDescent="0.25">
      <c r="A16" s="12" t="s">
        <v>69</v>
      </c>
      <c r="B16" s="13">
        <v>54</v>
      </c>
      <c r="C16" s="13">
        <v>13</v>
      </c>
    </row>
    <row r="17" spans="1:5" x14ac:dyDescent="0.25">
      <c r="A17" s="12" t="s">
        <v>70</v>
      </c>
      <c r="B17" s="13">
        <v>57</v>
      </c>
      <c r="C17" s="13">
        <v>13</v>
      </c>
    </row>
    <row r="18" spans="1:5" x14ac:dyDescent="0.25">
      <c r="A18" s="12" t="s">
        <v>71</v>
      </c>
      <c r="B18" s="13">
        <v>60</v>
      </c>
      <c r="C18" s="13">
        <v>14</v>
      </c>
    </row>
    <row r="19" spans="1:5" x14ac:dyDescent="0.25">
      <c r="A19" s="12" t="s">
        <v>72</v>
      </c>
      <c r="B19" s="13">
        <v>63</v>
      </c>
      <c r="C19" s="13">
        <v>15</v>
      </c>
    </row>
    <row r="20" spans="1:5" x14ac:dyDescent="0.25">
      <c r="A20" s="12" t="s">
        <v>73</v>
      </c>
      <c r="B20" s="13">
        <v>66</v>
      </c>
      <c r="C20" s="13">
        <v>15</v>
      </c>
    </row>
    <row r="21" spans="1:5" x14ac:dyDescent="0.25">
      <c r="A21" s="12" t="s">
        <v>74</v>
      </c>
      <c r="B21" s="13">
        <v>69</v>
      </c>
      <c r="C21" s="13">
        <v>16</v>
      </c>
    </row>
    <row r="22" spans="1:5" x14ac:dyDescent="0.25">
      <c r="A22" s="12" t="s">
        <v>75</v>
      </c>
      <c r="B22" s="13">
        <v>72</v>
      </c>
      <c r="C22" s="13">
        <v>17</v>
      </c>
    </row>
    <row r="23" spans="1:5" x14ac:dyDescent="0.25">
      <c r="A23" s="12" t="s">
        <v>76</v>
      </c>
      <c r="B23" s="13">
        <v>75</v>
      </c>
      <c r="C23" s="13">
        <v>18</v>
      </c>
    </row>
    <row r="24" spans="1:5" x14ac:dyDescent="0.25">
      <c r="A24" s="12" t="s">
        <v>77</v>
      </c>
      <c r="B24" s="13">
        <v>78</v>
      </c>
      <c r="C24" s="13">
        <v>18</v>
      </c>
    </row>
    <row r="25" spans="1:5" x14ac:dyDescent="0.25">
      <c r="A25" s="12" t="s">
        <v>78</v>
      </c>
      <c r="B25" s="13">
        <v>81</v>
      </c>
      <c r="C25" s="13">
        <v>19</v>
      </c>
    </row>
    <row r="26" spans="1:5" x14ac:dyDescent="0.25">
      <c r="A26" s="12" t="s">
        <v>79</v>
      </c>
      <c r="B26" s="13">
        <v>84</v>
      </c>
      <c r="C26" s="13">
        <v>20</v>
      </c>
    </row>
    <row r="27" spans="1:5" x14ac:dyDescent="0.25">
      <c r="A27" s="12" t="s">
        <v>80</v>
      </c>
      <c r="B27" s="13">
        <v>87</v>
      </c>
      <c r="C27" s="13">
        <v>20</v>
      </c>
    </row>
    <row r="28" spans="1:5" ht="15.75" thickBot="1" x14ac:dyDescent="0.3">
      <c r="A28" s="16" t="s">
        <v>81</v>
      </c>
      <c r="B28" s="9">
        <v>90</v>
      </c>
      <c r="C28" s="9">
        <v>21</v>
      </c>
      <c r="E28" s="17" t="s">
        <v>82</v>
      </c>
    </row>
    <row r="29" spans="1:5" ht="18.75" x14ac:dyDescent="0.3">
      <c r="A29" s="5"/>
    </row>
    <row r="30" spans="1:5" ht="145.5" customHeight="1" x14ac:dyDescent="0.3">
      <c r="A30" s="261" t="s">
        <v>83</v>
      </c>
      <c r="B30" s="261"/>
      <c r="C30" s="261"/>
    </row>
    <row r="31" spans="1:5" ht="18.75" x14ac:dyDescent="0.3">
      <c r="A31" s="5"/>
    </row>
    <row r="32" spans="1:5" ht="18.75" x14ac:dyDescent="0.3">
      <c r="A32" s="18" t="s">
        <v>84</v>
      </c>
    </row>
    <row r="33" spans="1:3" ht="18.75" x14ac:dyDescent="0.3">
      <c r="A33" s="5"/>
    </row>
    <row r="34" spans="1:3" x14ac:dyDescent="0.25">
      <c r="A34" s="254" t="s">
        <v>85</v>
      </c>
      <c r="B34" s="254"/>
      <c r="C34" s="254"/>
    </row>
    <row r="35" spans="1:3" x14ac:dyDescent="0.25">
      <c r="A35" s="254"/>
      <c r="B35" s="254"/>
      <c r="C35" s="254"/>
    </row>
    <row r="36" spans="1:3" x14ac:dyDescent="0.25">
      <c r="A36" s="254" t="s">
        <v>86</v>
      </c>
      <c r="B36" s="254"/>
      <c r="C36" s="254"/>
    </row>
    <row r="37" spans="1:3" x14ac:dyDescent="0.25">
      <c r="A37" s="254"/>
      <c r="B37" s="254"/>
      <c r="C37" s="254"/>
    </row>
    <row r="40" spans="1:3" x14ac:dyDescent="0.25">
      <c r="A40" s="19" t="s">
        <v>87</v>
      </c>
    </row>
  </sheetData>
  <mergeCells count="8">
    <mergeCell ref="A34:C35"/>
    <mergeCell ref="A36:C37"/>
    <mergeCell ref="A2:C2"/>
    <mergeCell ref="A3:C3"/>
    <mergeCell ref="A5:C5"/>
    <mergeCell ref="A6:A7"/>
    <mergeCell ref="B6:B7"/>
    <mergeCell ref="A30:C30"/>
  </mergeCells>
  <hyperlinks>
    <hyperlink ref="E28" location="'ADAPTAÇÃO A IN 06_13'!B77" display="VOLTAR PLANILHA PRINCIPAL"/>
  </hyperlink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2"/>
  <sheetViews>
    <sheetView topLeftCell="A57" zoomScaleNormal="100" workbookViewId="0">
      <selection activeCell="H4" sqref="H4:I4"/>
    </sheetView>
  </sheetViews>
  <sheetFormatPr defaultRowHeight="15" x14ac:dyDescent="0.25"/>
  <cols>
    <col min="1" max="1" width="11.140625" customWidth="1"/>
    <col min="2" max="2" width="34.7109375" customWidth="1"/>
    <col min="3" max="3" width="19.7109375" customWidth="1"/>
    <col min="4" max="4" width="11.7109375" customWidth="1"/>
    <col min="5" max="5" width="14.7109375" customWidth="1"/>
    <col min="14" max="14" width="13.28515625" customWidth="1"/>
    <col min="15" max="15" width="11.85546875" customWidth="1"/>
  </cols>
  <sheetData>
    <row r="1" spans="1:5" ht="21.75" thickBot="1" x14ac:dyDescent="0.3">
      <c r="A1" s="372" t="s">
        <v>236</v>
      </c>
      <c r="B1" s="373"/>
      <c r="C1" s="373"/>
      <c r="D1" s="373"/>
      <c r="E1" s="374"/>
    </row>
    <row r="2" spans="1:5" x14ac:dyDescent="0.25">
      <c r="A2" s="375" t="s">
        <v>202</v>
      </c>
      <c r="B2" s="376"/>
      <c r="C2" s="376"/>
      <c r="D2" s="376"/>
      <c r="E2" s="377"/>
    </row>
    <row r="3" spans="1:5" ht="25.5" x14ac:dyDescent="0.25">
      <c r="A3" s="37" t="s">
        <v>0</v>
      </c>
      <c r="B3" s="38" t="s">
        <v>1</v>
      </c>
      <c r="C3" s="378" t="s">
        <v>234</v>
      </c>
      <c r="D3" s="379"/>
      <c r="E3" s="380"/>
    </row>
    <row r="4" spans="1:5" x14ac:dyDescent="0.25">
      <c r="A4" s="37" t="s">
        <v>2</v>
      </c>
      <c r="B4" s="38" t="s">
        <v>125</v>
      </c>
      <c r="C4" s="369" t="s">
        <v>182</v>
      </c>
      <c r="D4" s="370"/>
      <c r="E4" s="371"/>
    </row>
    <row r="5" spans="1:5" ht="25.5" x14ac:dyDescent="0.25">
      <c r="A5" s="37" t="s">
        <v>3</v>
      </c>
      <c r="B5" s="38" t="s">
        <v>4</v>
      </c>
      <c r="C5" s="369" t="s">
        <v>203</v>
      </c>
      <c r="D5" s="370"/>
      <c r="E5" s="371"/>
    </row>
    <row r="6" spans="1:5" x14ac:dyDescent="0.25">
      <c r="A6" s="37" t="s">
        <v>5</v>
      </c>
      <c r="B6" s="38" t="s">
        <v>133</v>
      </c>
      <c r="C6" s="369">
        <v>12</v>
      </c>
      <c r="D6" s="370"/>
      <c r="E6" s="371"/>
    </row>
    <row r="7" spans="1:5" x14ac:dyDescent="0.25">
      <c r="A7" s="392" t="s">
        <v>6</v>
      </c>
      <c r="B7" s="393"/>
      <c r="C7" s="393"/>
      <c r="D7" s="393"/>
      <c r="E7" s="394"/>
    </row>
    <row r="8" spans="1:5" x14ac:dyDescent="0.25">
      <c r="A8" s="395" t="s">
        <v>7</v>
      </c>
      <c r="B8" s="396"/>
      <c r="C8" s="396"/>
      <c r="D8" s="396"/>
      <c r="E8" s="397"/>
    </row>
    <row r="9" spans="1:5" x14ac:dyDescent="0.25">
      <c r="A9" s="375" t="s">
        <v>235</v>
      </c>
      <c r="B9" s="398"/>
      <c r="C9" s="398"/>
      <c r="D9" s="398"/>
      <c r="E9" s="399"/>
    </row>
    <row r="10" spans="1:5" ht="25.5" x14ac:dyDescent="0.25">
      <c r="A10" s="37"/>
      <c r="B10" s="40" t="s">
        <v>124</v>
      </c>
      <c r="C10" s="400" t="s">
        <v>182</v>
      </c>
      <c r="D10" s="401"/>
      <c r="E10" s="402"/>
    </row>
    <row r="11" spans="1:5" ht="25.5" x14ac:dyDescent="0.25">
      <c r="A11" s="37">
        <v>2</v>
      </c>
      <c r="B11" s="41" t="s">
        <v>9</v>
      </c>
      <c r="C11" s="42"/>
      <c r="D11" s="43"/>
      <c r="E11" s="44">
        <v>1497.22</v>
      </c>
    </row>
    <row r="12" spans="1:5" ht="25.5" x14ac:dyDescent="0.25">
      <c r="A12" s="37">
        <v>3</v>
      </c>
      <c r="B12" s="40" t="s">
        <v>10</v>
      </c>
      <c r="C12" s="400" t="s">
        <v>229</v>
      </c>
      <c r="D12" s="401"/>
      <c r="E12" s="402"/>
    </row>
    <row r="13" spans="1:5" x14ac:dyDescent="0.25">
      <c r="A13" s="37">
        <v>4</v>
      </c>
      <c r="B13" s="45" t="s">
        <v>11</v>
      </c>
      <c r="C13" s="381">
        <v>44621</v>
      </c>
      <c r="D13" s="382"/>
      <c r="E13" s="383"/>
    </row>
    <row r="14" spans="1:5" x14ac:dyDescent="0.25">
      <c r="A14" s="384" t="s">
        <v>12</v>
      </c>
      <c r="B14" s="385"/>
      <c r="C14" s="385"/>
      <c r="D14" s="386"/>
      <c r="E14" s="46"/>
    </row>
    <row r="15" spans="1:5" x14ac:dyDescent="0.25">
      <c r="A15" s="80">
        <v>1</v>
      </c>
      <c r="B15" s="387" t="s">
        <v>13</v>
      </c>
      <c r="C15" s="388"/>
      <c r="D15" s="389"/>
      <c r="E15" s="47" t="s">
        <v>8</v>
      </c>
    </row>
    <row r="16" spans="1:5" ht="24.75" customHeight="1" x14ac:dyDescent="0.25">
      <c r="A16" s="48" t="s">
        <v>0</v>
      </c>
      <c r="B16" s="406" t="s">
        <v>239</v>
      </c>
      <c r="C16" s="407"/>
      <c r="D16" s="95">
        <v>15.21</v>
      </c>
      <c r="E16" s="50">
        <f>(E11/220)*D16</f>
        <v>103.51</v>
      </c>
    </row>
    <row r="17" spans="1:5" x14ac:dyDescent="0.25">
      <c r="A17" s="48" t="s">
        <v>2</v>
      </c>
      <c r="B17" s="52" t="s">
        <v>16</v>
      </c>
      <c r="C17" s="81">
        <v>0</v>
      </c>
      <c r="D17" s="82"/>
      <c r="E17" s="83">
        <f>D17*C17</f>
        <v>0</v>
      </c>
    </row>
    <row r="18" spans="1:5" x14ac:dyDescent="0.25">
      <c r="A18" s="48" t="s">
        <v>3</v>
      </c>
      <c r="B18" s="433" t="s">
        <v>216</v>
      </c>
      <c r="C18" s="434"/>
      <c r="D18" s="435"/>
      <c r="E18" s="83">
        <f>(E16)/25*5</f>
        <v>20.7</v>
      </c>
    </row>
    <row r="19" spans="1:5" ht="21.75" customHeight="1" x14ac:dyDescent="0.25">
      <c r="A19" s="48" t="s">
        <v>123</v>
      </c>
      <c r="B19" s="403" t="s">
        <v>210</v>
      </c>
      <c r="C19" s="404"/>
      <c r="D19" s="405"/>
      <c r="E19" s="51">
        <f>SUM(E16:E18)</f>
        <v>124.21</v>
      </c>
    </row>
    <row r="20" spans="1:5" ht="25.5" customHeight="1" x14ac:dyDescent="0.25">
      <c r="A20" s="48" t="s">
        <v>5</v>
      </c>
      <c r="B20" s="49" t="s">
        <v>215</v>
      </c>
      <c r="C20" s="390">
        <v>0.3</v>
      </c>
      <c r="D20" s="391"/>
      <c r="E20" s="83">
        <f>E19*C20</f>
        <v>37.26</v>
      </c>
    </row>
    <row r="21" spans="1:5" x14ac:dyDescent="0.25">
      <c r="A21" s="408" t="s">
        <v>20</v>
      </c>
      <c r="B21" s="409"/>
      <c r="C21" s="409"/>
      <c r="D21" s="411"/>
      <c r="E21" s="54">
        <f>SUM(E19:E20)</f>
        <v>161.47</v>
      </c>
    </row>
    <row r="22" spans="1:5" x14ac:dyDescent="0.25">
      <c r="A22" s="384" t="s">
        <v>45</v>
      </c>
      <c r="B22" s="412"/>
      <c r="C22" s="412"/>
      <c r="D22" s="413"/>
      <c r="E22" s="55"/>
    </row>
    <row r="23" spans="1:5" x14ac:dyDescent="0.25">
      <c r="A23" s="80" t="s">
        <v>134</v>
      </c>
      <c r="B23" s="387" t="s">
        <v>135</v>
      </c>
      <c r="C23" s="388"/>
      <c r="D23" s="389"/>
      <c r="E23" s="47" t="s">
        <v>8</v>
      </c>
    </row>
    <row r="24" spans="1:5" x14ac:dyDescent="0.25">
      <c r="A24" s="56" t="s">
        <v>0</v>
      </c>
      <c r="B24" s="57" t="s">
        <v>27</v>
      </c>
      <c r="C24" s="45"/>
      <c r="D24" s="58">
        <f>1/12</f>
        <v>8.3299999999999999E-2</v>
      </c>
      <c r="E24" s="46">
        <f>ROUND(+$E$21*D24,2)</f>
        <v>13.45</v>
      </c>
    </row>
    <row r="25" spans="1:5" x14ac:dyDescent="0.25">
      <c r="A25" s="56" t="s">
        <v>2</v>
      </c>
      <c r="B25" s="57" t="s">
        <v>221</v>
      </c>
      <c r="C25" s="45"/>
      <c r="D25" s="58">
        <v>0.1111</v>
      </c>
      <c r="E25" s="46">
        <f>ROUND(+$E$21*D25,2)</f>
        <v>17.940000000000001</v>
      </c>
    </row>
    <row r="26" spans="1:5" x14ac:dyDescent="0.25">
      <c r="A26" s="408" t="s">
        <v>25</v>
      </c>
      <c r="B26" s="409"/>
      <c r="C26" s="410"/>
      <c r="D26" s="59">
        <f>SUM(D24:D25)</f>
        <v>0.19439999999999999</v>
      </c>
      <c r="E26" s="54">
        <f>SUM(E24:E25)</f>
        <v>31.39</v>
      </c>
    </row>
    <row r="27" spans="1:5" ht="29.25" customHeight="1" x14ac:dyDescent="0.25">
      <c r="A27" s="414" t="s">
        <v>137</v>
      </c>
      <c r="B27" s="415"/>
      <c r="C27" s="415"/>
      <c r="D27" s="415"/>
      <c r="E27" s="416"/>
    </row>
    <row r="28" spans="1:5" x14ac:dyDescent="0.25">
      <c r="A28" s="80" t="s">
        <v>138</v>
      </c>
      <c r="B28" s="387" t="s">
        <v>23</v>
      </c>
      <c r="C28" s="388"/>
      <c r="D28" s="389"/>
      <c r="E28" s="47" t="s">
        <v>8</v>
      </c>
    </row>
    <row r="29" spans="1:5" x14ac:dyDescent="0.25">
      <c r="A29" s="56" t="s">
        <v>0</v>
      </c>
      <c r="B29" s="60" t="s">
        <v>139</v>
      </c>
      <c r="C29" s="45"/>
      <c r="D29" s="58">
        <v>0.2</v>
      </c>
      <c r="E29" s="46">
        <f>(E21+E26)*D29</f>
        <v>38.57</v>
      </c>
    </row>
    <row r="30" spans="1:5" x14ac:dyDescent="0.25">
      <c r="A30" s="56" t="s">
        <v>2</v>
      </c>
      <c r="B30" s="61" t="s">
        <v>140</v>
      </c>
      <c r="C30" s="45"/>
      <c r="D30" s="58">
        <v>1.4999999999999999E-2</v>
      </c>
      <c r="E30" s="46">
        <f>(E21+E26)*D30</f>
        <v>2.89</v>
      </c>
    </row>
    <row r="31" spans="1:5" x14ac:dyDescent="0.25">
      <c r="A31" s="56" t="s">
        <v>3</v>
      </c>
      <c r="B31" s="45" t="s">
        <v>141</v>
      </c>
      <c r="C31" s="45"/>
      <c r="D31" s="58">
        <v>0.01</v>
      </c>
      <c r="E31" s="46">
        <f>(E21+E26)*D31</f>
        <v>1.93</v>
      </c>
    </row>
    <row r="32" spans="1:5" x14ac:dyDescent="0.25">
      <c r="A32" s="56" t="s">
        <v>5</v>
      </c>
      <c r="B32" s="62" t="s">
        <v>142</v>
      </c>
      <c r="C32" s="45"/>
      <c r="D32" s="58">
        <v>2E-3</v>
      </c>
      <c r="E32" s="46">
        <f>(E21+E26)*D32</f>
        <v>0.39</v>
      </c>
    </row>
    <row r="33" spans="1:5" x14ac:dyDescent="0.25">
      <c r="A33" s="56" t="s">
        <v>17</v>
      </c>
      <c r="B33" s="45" t="s">
        <v>143</v>
      </c>
      <c r="C33" s="45"/>
      <c r="D33" s="58">
        <v>2.5000000000000001E-2</v>
      </c>
      <c r="E33" s="46">
        <f>(E21+E26)*D33</f>
        <v>4.82</v>
      </c>
    </row>
    <row r="34" spans="1:5" x14ac:dyDescent="0.25">
      <c r="A34" s="56" t="s">
        <v>18</v>
      </c>
      <c r="B34" s="61" t="s">
        <v>144</v>
      </c>
      <c r="C34" s="45"/>
      <c r="D34" s="58">
        <v>0.08</v>
      </c>
      <c r="E34" s="46">
        <f>(E21+E26)*D34</f>
        <v>15.43</v>
      </c>
    </row>
    <row r="35" spans="1:5" x14ac:dyDescent="0.25">
      <c r="A35" s="56" t="s">
        <v>19</v>
      </c>
      <c r="B35" s="62" t="s">
        <v>145</v>
      </c>
      <c r="C35" s="45"/>
      <c r="D35" s="58">
        <v>0.06</v>
      </c>
      <c r="E35" s="46">
        <f>(E21+E26)*D35</f>
        <v>11.57</v>
      </c>
    </row>
    <row r="36" spans="1:5" x14ac:dyDescent="0.25">
      <c r="A36" s="63" t="s">
        <v>24</v>
      </c>
      <c r="B36" s="64" t="s">
        <v>146</v>
      </c>
      <c r="C36" s="65"/>
      <c r="D36" s="66">
        <v>6.0000000000000001E-3</v>
      </c>
      <c r="E36" s="55">
        <f>(E21+E26)*D36</f>
        <v>1.1599999999999999</v>
      </c>
    </row>
    <row r="37" spans="1:5" x14ac:dyDescent="0.25">
      <c r="A37" s="408" t="s">
        <v>25</v>
      </c>
      <c r="B37" s="409"/>
      <c r="C37" s="410"/>
      <c r="D37" s="59">
        <f>SUM(D29:D36)</f>
        <v>0.39800000000000002</v>
      </c>
      <c r="E37" s="54">
        <f>SUM(E29:E36)</f>
        <v>76.760000000000005</v>
      </c>
    </row>
    <row r="38" spans="1:5" x14ac:dyDescent="0.25">
      <c r="A38" s="80" t="s">
        <v>147</v>
      </c>
      <c r="B38" s="387" t="s">
        <v>148</v>
      </c>
      <c r="C38" s="388"/>
      <c r="D38" s="389"/>
      <c r="E38" s="47" t="s">
        <v>8</v>
      </c>
    </row>
    <row r="39" spans="1:5" x14ac:dyDescent="0.25">
      <c r="A39" s="56" t="s">
        <v>0</v>
      </c>
      <c r="B39" s="72" t="s">
        <v>218</v>
      </c>
      <c r="C39" s="53"/>
      <c r="D39" s="100"/>
      <c r="E39" s="88">
        <f>(30*4.05)-(E16*0.06*50%)</f>
        <v>118.39</v>
      </c>
    </row>
    <row r="40" spans="1:5" x14ac:dyDescent="0.25">
      <c r="A40" s="56" t="s">
        <v>2</v>
      </c>
      <c r="B40" s="356" t="s">
        <v>217</v>
      </c>
      <c r="C40" s="357"/>
      <c r="D40" s="342"/>
      <c r="E40" s="90">
        <f>(3*D16)-(3*D16*1%)</f>
        <v>45.17</v>
      </c>
    </row>
    <row r="41" spans="1:5" x14ac:dyDescent="0.25">
      <c r="A41" s="56" t="s">
        <v>3</v>
      </c>
      <c r="B41" s="356" t="s">
        <v>219</v>
      </c>
      <c r="C41" s="357"/>
      <c r="D41" s="342"/>
      <c r="E41" s="90">
        <f>(((E16*16%)-(E16*1%))/12)</f>
        <v>1.29</v>
      </c>
    </row>
    <row r="42" spans="1:5" x14ac:dyDescent="0.25">
      <c r="A42" s="56" t="s">
        <v>5</v>
      </c>
      <c r="B42" s="53" t="s">
        <v>149</v>
      </c>
      <c r="C42" s="91" t="s">
        <v>205</v>
      </c>
      <c r="D42" s="85">
        <v>12.51</v>
      </c>
      <c r="E42" s="88">
        <f>D42</f>
        <v>12.51</v>
      </c>
    </row>
    <row r="43" spans="1:5" ht="25.5" x14ac:dyDescent="0.25">
      <c r="A43" s="56" t="s">
        <v>17</v>
      </c>
      <c r="B43" s="53" t="s">
        <v>232</v>
      </c>
      <c r="C43" s="91" t="s">
        <v>231</v>
      </c>
      <c r="D43" s="85">
        <v>8.5</v>
      </c>
      <c r="E43" s="88">
        <f t="shared" ref="E43" si="0">D43</f>
        <v>8.5</v>
      </c>
    </row>
    <row r="44" spans="1:5" x14ac:dyDescent="0.25">
      <c r="A44" s="408" t="s">
        <v>21</v>
      </c>
      <c r="B44" s="409"/>
      <c r="C44" s="409"/>
      <c r="D44" s="411"/>
      <c r="E44" s="54">
        <f>SUM(E39:E43)</f>
        <v>185.86</v>
      </c>
    </row>
    <row r="45" spans="1:5" x14ac:dyDescent="0.25">
      <c r="A45" s="384" t="s">
        <v>150</v>
      </c>
      <c r="B45" s="385"/>
      <c r="C45" s="385"/>
      <c r="D45" s="386"/>
      <c r="E45" s="46"/>
    </row>
    <row r="46" spans="1:5" x14ac:dyDescent="0.25">
      <c r="A46" s="80" t="s">
        <v>134</v>
      </c>
      <c r="B46" s="387" t="s">
        <v>151</v>
      </c>
      <c r="C46" s="388"/>
      <c r="D46" s="389"/>
      <c r="E46" s="47">
        <f>E26</f>
        <v>31.39</v>
      </c>
    </row>
    <row r="47" spans="1:5" x14ac:dyDescent="0.25">
      <c r="A47" s="80" t="s">
        <v>138</v>
      </c>
      <c r="B47" s="57" t="s">
        <v>152</v>
      </c>
      <c r="C47" s="45"/>
      <c r="D47" s="67" t="s">
        <v>123</v>
      </c>
      <c r="E47" s="46">
        <f>E37</f>
        <v>76.760000000000005</v>
      </c>
    </row>
    <row r="48" spans="1:5" x14ac:dyDescent="0.25">
      <c r="A48" s="80" t="s">
        <v>147</v>
      </c>
      <c r="B48" s="57" t="s">
        <v>153</v>
      </c>
      <c r="C48" s="45"/>
      <c r="D48" s="67" t="s">
        <v>123</v>
      </c>
      <c r="E48" s="46">
        <f>E44</f>
        <v>185.86</v>
      </c>
    </row>
    <row r="49" spans="1:15" x14ac:dyDescent="0.25">
      <c r="A49" s="408" t="s">
        <v>25</v>
      </c>
      <c r="B49" s="409"/>
      <c r="C49" s="410"/>
      <c r="D49" s="68" t="s">
        <v>123</v>
      </c>
      <c r="E49" s="54">
        <f>SUM(E46:E48)</f>
        <v>294.01</v>
      </c>
    </row>
    <row r="50" spans="1:15" x14ac:dyDescent="0.25">
      <c r="A50" s="384" t="s">
        <v>154</v>
      </c>
      <c r="B50" s="385"/>
      <c r="C50" s="385"/>
      <c r="D50" s="386"/>
      <c r="E50" s="46"/>
    </row>
    <row r="51" spans="1:15" x14ac:dyDescent="0.25">
      <c r="A51" s="80" t="s">
        <v>155</v>
      </c>
      <c r="B51" s="387" t="s">
        <v>28</v>
      </c>
      <c r="C51" s="388"/>
      <c r="D51" s="389"/>
      <c r="E51" s="47" t="s">
        <v>8</v>
      </c>
    </row>
    <row r="52" spans="1:15" x14ac:dyDescent="0.25">
      <c r="A52" s="56" t="s">
        <v>0</v>
      </c>
      <c r="B52" s="57" t="s">
        <v>156</v>
      </c>
      <c r="C52" s="61"/>
      <c r="D52" s="58">
        <v>4.5999999999999999E-3</v>
      </c>
      <c r="E52" s="46">
        <f t="shared" ref="E52:E56" si="1">ROUND(+D52*$E$21,2)</f>
        <v>0.74</v>
      </c>
    </row>
    <row r="53" spans="1:15" ht="25.5" x14ac:dyDescent="0.25">
      <c r="A53" s="56" t="s">
        <v>2</v>
      </c>
      <c r="B53" s="53" t="s">
        <v>157</v>
      </c>
      <c r="C53" s="61"/>
      <c r="D53" s="58">
        <f>D34*D52</f>
        <v>4.0000000000000002E-4</v>
      </c>
      <c r="E53" s="46">
        <f t="shared" si="1"/>
        <v>0.06</v>
      </c>
    </row>
    <row r="54" spans="1:15" x14ac:dyDescent="0.25">
      <c r="A54" s="56" t="s">
        <v>3</v>
      </c>
      <c r="B54" s="69" t="s">
        <v>29</v>
      </c>
      <c r="C54" s="61"/>
      <c r="D54" s="58">
        <v>1.9400000000000001E-2</v>
      </c>
      <c r="E54" s="46">
        <f t="shared" si="1"/>
        <v>3.13</v>
      </c>
    </row>
    <row r="55" spans="1:15" ht="25.5" x14ac:dyDescent="0.25">
      <c r="A55" s="56" t="s">
        <v>5</v>
      </c>
      <c r="B55" s="53" t="s">
        <v>158</v>
      </c>
      <c r="C55" s="61"/>
      <c r="D55" s="58">
        <f>D37*D54</f>
        <v>7.7000000000000002E-3</v>
      </c>
      <c r="E55" s="46">
        <f t="shared" si="1"/>
        <v>1.24</v>
      </c>
    </row>
    <row r="56" spans="1:15" ht="51" x14ac:dyDescent="0.25">
      <c r="A56" s="56" t="s">
        <v>17</v>
      </c>
      <c r="B56" s="53" t="s">
        <v>211</v>
      </c>
      <c r="C56" s="61"/>
      <c r="D56" s="58">
        <f>4%</f>
        <v>0.04</v>
      </c>
      <c r="E56" s="46">
        <f t="shared" si="1"/>
        <v>6.46</v>
      </c>
    </row>
    <row r="57" spans="1:15" x14ac:dyDescent="0.25">
      <c r="A57" s="408" t="s">
        <v>25</v>
      </c>
      <c r="B57" s="409"/>
      <c r="C57" s="409"/>
      <c r="D57" s="70">
        <f>SUM(D52:D56)</f>
        <v>7.2099999999999997E-2</v>
      </c>
      <c r="E57" s="54">
        <f>SUM(E52:E56)</f>
        <v>11.63</v>
      </c>
    </row>
    <row r="58" spans="1:15" x14ac:dyDescent="0.25">
      <c r="A58" s="384" t="s">
        <v>159</v>
      </c>
      <c r="B58" s="385"/>
      <c r="C58" s="385"/>
      <c r="D58" s="386"/>
      <c r="E58" s="46"/>
    </row>
    <row r="59" spans="1:15" x14ac:dyDescent="0.25">
      <c r="A59" s="80" t="s">
        <v>22</v>
      </c>
      <c r="B59" s="436" t="s">
        <v>160</v>
      </c>
      <c r="C59" s="385"/>
      <c r="D59" s="386"/>
      <c r="E59" s="47" t="s">
        <v>8</v>
      </c>
    </row>
    <row r="60" spans="1:15" x14ac:dyDescent="0.25">
      <c r="A60" s="56" t="s">
        <v>0</v>
      </c>
      <c r="B60" s="57" t="s">
        <v>220</v>
      </c>
      <c r="C60" s="45"/>
      <c r="D60" s="58">
        <f>((1+1/3)/12)/12</f>
        <v>9.2999999999999992E-3</v>
      </c>
      <c r="E60" s="46">
        <f>(E21+E49+E57+E78)*D60</f>
        <v>4.9800000000000004</v>
      </c>
    </row>
    <row r="61" spans="1:15" ht="25.5" x14ac:dyDescent="0.25">
      <c r="A61" s="56" t="s">
        <v>2</v>
      </c>
      <c r="B61" s="57" t="s">
        <v>162</v>
      </c>
      <c r="C61" s="45"/>
      <c r="D61" s="58">
        <v>1.66E-2</v>
      </c>
      <c r="E61" s="46">
        <f>(E21+E49+E57+E78)*D61</f>
        <v>8.89</v>
      </c>
      <c r="F61" s="417" t="s">
        <v>222</v>
      </c>
      <c r="G61" s="418"/>
      <c r="H61" s="418"/>
      <c r="I61" s="418"/>
      <c r="J61" s="418"/>
      <c r="K61" s="418"/>
      <c r="L61" s="418"/>
      <c r="M61" s="418"/>
    </row>
    <row r="62" spans="1:15" ht="25.5" x14ac:dyDescent="0.25">
      <c r="A62" s="56" t="s">
        <v>3</v>
      </c>
      <c r="B62" s="57" t="s">
        <v>163</v>
      </c>
      <c r="C62" s="45"/>
      <c r="D62" s="58">
        <f>(5/30)*(1/12)*6.24%*95.04%</f>
        <v>8.0000000000000004E-4</v>
      </c>
      <c r="E62" s="46">
        <f>(E21+E49+E57+E78)*D62</f>
        <v>0.43</v>
      </c>
      <c r="F62" s="437" t="s">
        <v>223</v>
      </c>
      <c r="G62" s="438"/>
      <c r="H62" s="438"/>
      <c r="I62" s="438"/>
      <c r="J62" s="438"/>
      <c r="K62" s="438"/>
      <c r="L62" s="438"/>
      <c r="M62" s="438"/>
      <c r="N62" s="438"/>
      <c r="O62" s="438"/>
    </row>
    <row r="63" spans="1:15" ht="25.5" x14ac:dyDescent="0.25">
      <c r="A63" s="56" t="s">
        <v>5</v>
      </c>
      <c r="B63" s="57" t="s">
        <v>164</v>
      </c>
      <c r="C63" s="45"/>
      <c r="D63" s="58">
        <f>(1/30)*(1/12)</f>
        <v>2.8E-3</v>
      </c>
      <c r="E63" s="46">
        <f>(E21+E49+E57+E78)*D63</f>
        <v>1.5</v>
      </c>
      <c r="F63" s="439" t="s">
        <v>224</v>
      </c>
      <c r="G63" s="440"/>
      <c r="H63" s="440"/>
      <c r="I63" s="440"/>
      <c r="J63" s="440"/>
      <c r="K63" s="440"/>
      <c r="L63" s="440"/>
      <c r="M63" s="440"/>
      <c r="N63" s="440"/>
      <c r="O63" s="440"/>
    </row>
    <row r="64" spans="1:15" ht="25.5" x14ac:dyDescent="0.25">
      <c r="A64" s="56" t="s">
        <v>17</v>
      </c>
      <c r="B64" s="57" t="s">
        <v>165</v>
      </c>
      <c r="C64" s="45"/>
      <c r="D64" s="58">
        <f>(0.91/30)*(1/12)</f>
        <v>2.5000000000000001E-3</v>
      </c>
      <c r="E64" s="46">
        <f>(E21+E49+E57+E78)*D64</f>
        <v>1.34</v>
      </c>
      <c r="F64" s="439" t="s">
        <v>225</v>
      </c>
      <c r="G64" s="440"/>
      <c r="H64" s="440"/>
      <c r="I64" s="440"/>
      <c r="J64" s="440"/>
      <c r="K64" s="440"/>
      <c r="L64" s="440"/>
      <c r="M64" s="440"/>
      <c r="N64" s="440"/>
      <c r="O64" s="440"/>
    </row>
    <row r="65" spans="1:15" ht="25.5" customHeight="1" x14ac:dyDescent="0.25">
      <c r="A65" s="56" t="s">
        <v>18</v>
      </c>
      <c r="B65" s="441" t="s">
        <v>233</v>
      </c>
      <c r="C65" s="442"/>
      <c r="D65" s="86">
        <f>(7/30)*(1/24)</f>
        <v>9.7000000000000003E-3</v>
      </c>
      <c r="E65" s="46">
        <f>(E21+E49+E57+E78)*D65</f>
        <v>5.19</v>
      </c>
      <c r="F65" s="439" t="s">
        <v>226</v>
      </c>
      <c r="G65" s="440"/>
      <c r="H65" s="440"/>
      <c r="I65" s="440"/>
      <c r="J65" s="440"/>
      <c r="K65" s="440"/>
      <c r="L65" s="440"/>
      <c r="M65" s="440"/>
      <c r="N65" s="440"/>
      <c r="O65" s="440"/>
    </row>
    <row r="66" spans="1:15" x14ac:dyDescent="0.25">
      <c r="A66" s="408" t="s">
        <v>166</v>
      </c>
      <c r="B66" s="409"/>
      <c r="C66" s="411"/>
      <c r="D66" s="70">
        <f>SUM(D60:D65)</f>
        <v>4.1700000000000001E-2</v>
      </c>
      <c r="E66" s="54">
        <f>SUM(E60:E65)</f>
        <v>22.33</v>
      </c>
    </row>
    <row r="67" spans="1:15" x14ac:dyDescent="0.25">
      <c r="A67" s="384"/>
      <c r="B67" s="385"/>
      <c r="C67" s="385"/>
      <c r="D67" s="386"/>
      <c r="E67" s="46"/>
    </row>
    <row r="68" spans="1:15" x14ac:dyDescent="0.25">
      <c r="A68" s="80" t="s">
        <v>123</v>
      </c>
      <c r="B68" s="387" t="s">
        <v>167</v>
      </c>
      <c r="C68" s="388"/>
      <c r="D68" s="389"/>
      <c r="E68" s="47" t="s">
        <v>8</v>
      </c>
    </row>
    <row r="69" spans="1:15" x14ac:dyDescent="0.25">
      <c r="A69" s="56" t="s">
        <v>0</v>
      </c>
      <c r="B69" s="57" t="s">
        <v>168</v>
      </c>
      <c r="C69" s="45"/>
      <c r="D69" s="58"/>
      <c r="E69" s="46">
        <f>0</f>
        <v>0</v>
      </c>
      <c r="G69" s="87"/>
    </row>
    <row r="70" spans="1:15" x14ac:dyDescent="0.25">
      <c r="A70" s="408" t="s">
        <v>25</v>
      </c>
      <c r="B70" s="409"/>
      <c r="C70" s="409"/>
      <c r="D70" s="59"/>
      <c r="E70" s="54">
        <f>E69</f>
        <v>0</v>
      </c>
    </row>
    <row r="71" spans="1:15" x14ac:dyDescent="0.25">
      <c r="A71" s="384" t="s">
        <v>169</v>
      </c>
      <c r="B71" s="385"/>
      <c r="C71" s="385"/>
      <c r="D71" s="386"/>
      <c r="E71" s="46"/>
    </row>
    <row r="72" spans="1:15" x14ac:dyDescent="0.25">
      <c r="A72" s="80">
        <v>4</v>
      </c>
      <c r="B72" s="387" t="s">
        <v>30</v>
      </c>
      <c r="C72" s="388"/>
      <c r="D72" s="389"/>
      <c r="E72" s="47" t="s">
        <v>8</v>
      </c>
    </row>
    <row r="73" spans="1:15" x14ac:dyDescent="0.25">
      <c r="A73" s="56" t="s">
        <v>22</v>
      </c>
      <c r="B73" s="57" t="s">
        <v>160</v>
      </c>
      <c r="C73" s="45"/>
      <c r="D73" s="58">
        <f>D66</f>
        <v>4.1700000000000001E-2</v>
      </c>
      <c r="E73" s="46">
        <f>E66</f>
        <v>22.33</v>
      </c>
    </row>
    <row r="74" spans="1:15" x14ac:dyDescent="0.25">
      <c r="A74" s="56" t="s">
        <v>26</v>
      </c>
      <c r="B74" s="57" t="s">
        <v>167</v>
      </c>
      <c r="C74" s="61"/>
      <c r="D74" s="58"/>
      <c r="E74" s="46">
        <f>E70</f>
        <v>0</v>
      </c>
    </row>
    <row r="75" spans="1:15" x14ac:dyDescent="0.25">
      <c r="A75" s="408" t="s">
        <v>170</v>
      </c>
      <c r="B75" s="409"/>
      <c r="C75" s="411"/>
      <c r="D75" s="70">
        <f>SUM(D70:D74)</f>
        <v>4.1700000000000001E-2</v>
      </c>
      <c r="E75" s="54">
        <f>SUM(E73+E74)</f>
        <v>22.33</v>
      </c>
    </row>
    <row r="76" spans="1:15" x14ac:dyDescent="0.25">
      <c r="A76" s="384" t="s">
        <v>171</v>
      </c>
      <c r="B76" s="385"/>
      <c r="C76" s="385"/>
      <c r="D76" s="386"/>
      <c r="E76" s="46"/>
    </row>
    <row r="77" spans="1:15" x14ac:dyDescent="0.25">
      <c r="A77" s="80">
        <v>5</v>
      </c>
      <c r="B77" s="387" t="s">
        <v>172</v>
      </c>
      <c r="C77" s="388"/>
      <c r="D77" s="389"/>
      <c r="E77" s="47" t="s">
        <v>8</v>
      </c>
    </row>
    <row r="78" spans="1:15" x14ac:dyDescent="0.25">
      <c r="A78" s="56" t="s">
        <v>0</v>
      </c>
      <c r="B78" s="57" t="s">
        <v>173</v>
      </c>
      <c r="C78" s="61" t="s">
        <v>206</v>
      </c>
      <c r="D78" s="58" t="s">
        <v>123</v>
      </c>
      <c r="E78" s="46">
        <f>'Mat. Unif.-LOTE I'!I13</f>
        <v>68.239999999999995</v>
      </c>
    </row>
    <row r="79" spans="1:15" x14ac:dyDescent="0.25">
      <c r="A79" s="56" t="s">
        <v>2</v>
      </c>
      <c r="B79" s="57" t="s">
        <v>174</v>
      </c>
      <c r="C79" s="45"/>
      <c r="D79" s="58"/>
      <c r="E79" s="46">
        <f>0</f>
        <v>0</v>
      </c>
    </row>
    <row r="80" spans="1:15" x14ac:dyDescent="0.25">
      <c r="A80" s="56" t="s">
        <v>3</v>
      </c>
      <c r="B80" s="57" t="s">
        <v>175</v>
      </c>
      <c r="C80" s="45"/>
      <c r="D80" s="58"/>
      <c r="E80" s="46">
        <v>0</v>
      </c>
    </row>
    <row r="81" spans="1:5" x14ac:dyDescent="0.25">
      <c r="A81" s="56" t="s">
        <v>5</v>
      </c>
      <c r="B81" s="57" t="s">
        <v>212</v>
      </c>
      <c r="C81" s="61" t="s">
        <v>227</v>
      </c>
      <c r="D81" s="58"/>
      <c r="E81" s="46">
        <v>29.92</v>
      </c>
    </row>
    <row r="82" spans="1:5" x14ac:dyDescent="0.25">
      <c r="A82" s="408" t="s">
        <v>176</v>
      </c>
      <c r="B82" s="409"/>
      <c r="C82" s="411"/>
      <c r="D82" s="70" t="s">
        <v>123</v>
      </c>
      <c r="E82" s="54">
        <f>SUM(E78:E81)</f>
        <v>98.16</v>
      </c>
    </row>
    <row r="83" spans="1:5" ht="18" customHeight="1" x14ac:dyDescent="0.25">
      <c r="A83" s="364" t="s">
        <v>213</v>
      </c>
      <c r="B83" s="365"/>
      <c r="C83" s="365"/>
      <c r="D83" s="365"/>
      <c r="E83" s="366"/>
    </row>
    <row r="84" spans="1:5" x14ac:dyDescent="0.25">
      <c r="A84" s="430" t="s">
        <v>41</v>
      </c>
      <c r="B84" s="360"/>
      <c r="C84" s="360"/>
      <c r="D84" s="361"/>
      <c r="E84" s="39" t="s">
        <v>8</v>
      </c>
    </row>
    <row r="85" spans="1:5" x14ac:dyDescent="0.25">
      <c r="A85" s="80" t="s">
        <v>0</v>
      </c>
      <c r="B85" s="387" t="s">
        <v>42</v>
      </c>
      <c r="C85" s="431"/>
      <c r="D85" s="432"/>
      <c r="E85" s="46">
        <f>+E21</f>
        <v>161.47</v>
      </c>
    </row>
    <row r="86" spans="1:5" x14ac:dyDescent="0.25">
      <c r="A86" s="80" t="s">
        <v>2</v>
      </c>
      <c r="B86" s="387" t="s">
        <v>178</v>
      </c>
      <c r="C86" s="431"/>
      <c r="D86" s="432"/>
      <c r="E86" s="46">
        <f>E49</f>
        <v>294.01</v>
      </c>
    </row>
    <row r="87" spans="1:5" x14ac:dyDescent="0.25">
      <c r="A87" s="80" t="s">
        <v>3</v>
      </c>
      <c r="B87" s="387" t="s">
        <v>179</v>
      </c>
      <c r="C87" s="431"/>
      <c r="D87" s="432"/>
      <c r="E87" s="46">
        <f>E57</f>
        <v>11.63</v>
      </c>
    </row>
    <row r="88" spans="1:5" x14ac:dyDescent="0.25">
      <c r="A88" s="80" t="s">
        <v>5</v>
      </c>
      <c r="B88" s="387" t="s">
        <v>180</v>
      </c>
      <c r="C88" s="431"/>
      <c r="D88" s="432"/>
      <c r="E88" s="46">
        <f>E75</f>
        <v>22.33</v>
      </c>
    </row>
    <row r="89" spans="1:5" ht="15.75" thickBot="1" x14ac:dyDescent="0.3">
      <c r="A89" s="97" t="s">
        <v>17</v>
      </c>
      <c r="B89" s="419" t="s">
        <v>181</v>
      </c>
      <c r="C89" s="420"/>
      <c r="D89" s="421"/>
      <c r="E89" s="74">
        <f>E82</f>
        <v>98.16</v>
      </c>
    </row>
    <row r="90" spans="1:5" ht="15.75" thickBot="1" x14ac:dyDescent="0.3">
      <c r="A90" s="422" t="s">
        <v>43</v>
      </c>
      <c r="B90" s="423"/>
      <c r="C90" s="423"/>
      <c r="D90" s="424"/>
      <c r="E90" s="101">
        <f>SUM(E85:E89)</f>
        <v>587.6</v>
      </c>
    </row>
    <row r="91" spans="1:5" ht="15.75" hidden="1" thickBot="1" x14ac:dyDescent="0.3">
      <c r="A91" s="425" t="s">
        <v>228</v>
      </c>
      <c r="B91" s="426"/>
      <c r="C91" s="426"/>
      <c r="D91" s="426"/>
      <c r="E91" s="99">
        <f>E90*2</f>
        <v>1175.2</v>
      </c>
    </row>
    <row r="92" spans="1:5" ht="13.5" hidden="1" customHeight="1" x14ac:dyDescent="0.25">
      <c r="A92" s="427"/>
      <c r="B92" s="428"/>
      <c r="C92" s="428"/>
      <c r="D92" s="428"/>
      <c r="E92" s="429"/>
    </row>
  </sheetData>
  <mergeCells count="63">
    <mergeCell ref="F62:O62"/>
    <mergeCell ref="F63:O63"/>
    <mergeCell ref="F64:O64"/>
    <mergeCell ref="F65:O65"/>
    <mergeCell ref="B65:C65"/>
    <mergeCell ref="A83:E83"/>
    <mergeCell ref="B18:D18"/>
    <mergeCell ref="B40:D40"/>
    <mergeCell ref="B41:D41"/>
    <mergeCell ref="A71:D71"/>
    <mergeCell ref="B72:D72"/>
    <mergeCell ref="A75:C75"/>
    <mergeCell ref="A50:D50"/>
    <mergeCell ref="B51:D51"/>
    <mergeCell ref="A57:C57"/>
    <mergeCell ref="A58:D58"/>
    <mergeCell ref="B59:D59"/>
    <mergeCell ref="A66:C66"/>
    <mergeCell ref="A37:C37"/>
    <mergeCell ref="B38:D38"/>
    <mergeCell ref="A44:D44"/>
    <mergeCell ref="F61:M61"/>
    <mergeCell ref="B89:D89"/>
    <mergeCell ref="A90:D90"/>
    <mergeCell ref="A91:D91"/>
    <mergeCell ref="A92:E92"/>
    <mergeCell ref="A84:D84"/>
    <mergeCell ref="B85:D85"/>
    <mergeCell ref="B86:D86"/>
    <mergeCell ref="B87:D87"/>
    <mergeCell ref="B88:D88"/>
    <mergeCell ref="A76:D76"/>
    <mergeCell ref="B77:D77"/>
    <mergeCell ref="A82:C82"/>
    <mergeCell ref="A67:D67"/>
    <mergeCell ref="B68:D68"/>
    <mergeCell ref="A70:C70"/>
    <mergeCell ref="A45:D45"/>
    <mergeCell ref="B46:D46"/>
    <mergeCell ref="A49:C49"/>
    <mergeCell ref="A21:D21"/>
    <mergeCell ref="A22:D22"/>
    <mergeCell ref="B23:D23"/>
    <mergeCell ref="A26:C26"/>
    <mergeCell ref="A27:E27"/>
    <mergeCell ref="B28:D28"/>
    <mergeCell ref="C13:E13"/>
    <mergeCell ref="A14:D14"/>
    <mergeCell ref="B15:D15"/>
    <mergeCell ref="C20:D20"/>
    <mergeCell ref="A7:E7"/>
    <mergeCell ref="A8:E8"/>
    <mergeCell ref="A9:E9"/>
    <mergeCell ref="C10:E10"/>
    <mergeCell ref="C12:E12"/>
    <mergeCell ref="B19:D19"/>
    <mergeCell ref="B16:C16"/>
    <mergeCell ref="C6:E6"/>
    <mergeCell ref="A1:E1"/>
    <mergeCell ref="A2:E2"/>
    <mergeCell ref="C3:E3"/>
    <mergeCell ref="C4:E4"/>
    <mergeCell ref="C5:E5"/>
  </mergeCells>
  <hyperlinks>
    <hyperlink ref="B36" r:id="rId1" display="08 - Sebrae 0,3% ou 0,6% - IN nº 03, MPS/SRP/2005, Anexo II e III ver código da Tabela"/>
  </hyperlinks>
  <pageMargins left="0.511811024" right="0.511811024" top="0.78740157499999996" bottom="0.78740157499999996" header="0.31496062000000002" footer="0.31496062000000002"/>
  <pageSetup paperSize="9" scale="47" orientation="portrait"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2"/>
  <sheetViews>
    <sheetView topLeftCell="A49" zoomScaleNormal="100" workbookViewId="0">
      <selection activeCell="H4" sqref="H4:I4"/>
    </sheetView>
  </sheetViews>
  <sheetFormatPr defaultRowHeight="15" x14ac:dyDescent="0.25"/>
  <cols>
    <col min="1" max="1" width="11.140625" customWidth="1"/>
    <col min="2" max="2" width="34.7109375" customWidth="1"/>
    <col min="3" max="3" width="19.7109375" customWidth="1"/>
    <col min="4" max="4" width="11.7109375" customWidth="1"/>
    <col min="5" max="5" width="14.7109375" customWidth="1"/>
    <col min="14" max="14" width="13.28515625" customWidth="1"/>
    <col min="15" max="15" width="11.85546875" customWidth="1"/>
  </cols>
  <sheetData>
    <row r="1" spans="1:7" ht="21.75" thickBot="1" x14ac:dyDescent="0.3">
      <c r="A1" s="372" t="s">
        <v>236</v>
      </c>
      <c r="B1" s="373"/>
      <c r="C1" s="373"/>
      <c r="D1" s="373"/>
      <c r="E1" s="374"/>
    </row>
    <row r="2" spans="1:7" x14ac:dyDescent="0.25">
      <c r="A2" s="375" t="s">
        <v>202</v>
      </c>
      <c r="B2" s="376"/>
      <c r="C2" s="376"/>
      <c r="D2" s="376"/>
      <c r="E2" s="377"/>
    </row>
    <row r="3" spans="1:7" ht="25.5" x14ac:dyDescent="0.25">
      <c r="A3" s="37" t="s">
        <v>0</v>
      </c>
      <c r="B3" s="38" t="s">
        <v>1</v>
      </c>
      <c r="C3" s="378" t="s">
        <v>234</v>
      </c>
      <c r="D3" s="379"/>
      <c r="E3" s="380"/>
    </row>
    <row r="4" spans="1:7" x14ac:dyDescent="0.25">
      <c r="A4" s="37" t="s">
        <v>2</v>
      </c>
      <c r="B4" s="38" t="s">
        <v>125</v>
      </c>
      <c r="C4" s="369" t="s">
        <v>182</v>
      </c>
      <c r="D4" s="370"/>
      <c r="E4" s="371"/>
    </row>
    <row r="5" spans="1:7" ht="25.5" x14ac:dyDescent="0.25">
      <c r="A5" s="37" t="s">
        <v>3</v>
      </c>
      <c r="B5" s="38" t="s">
        <v>4</v>
      </c>
      <c r="C5" s="369" t="s">
        <v>203</v>
      </c>
      <c r="D5" s="370"/>
      <c r="E5" s="371"/>
    </row>
    <row r="6" spans="1:7" x14ac:dyDescent="0.25">
      <c r="A6" s="37" t="s">
        <v>5</v>
      </c>
      <c r="B6" s="38" t="s">
        <v>133</v>
      </c>
      <c r="C6" s="369">
        <v>12</v>
      </c>
      <c r="D6" s="370"/>
      <c r="E6" s="371"/>
    </row>
    <row r="7" spans="1:7" x14ac:dyDescent="0.25">
      <c r="A7" s="392" t="s">
        <v>6</v>
      </c>
      <c r="B7" s="393"/>
      <c r="C7" s="393"/>
      <c r="D7" s="393"/>
      <c r="E7" s="394"/>
      <c r="G7">
        <f>F7*12</f>
        <v>0</v>
      </c>
    </row>
    <row r="8" spans="1:7" x14ac:dyDescent="0.25">
      <c r="A8" s="395" t="s">
        <v>7</v>
      </c>
      <c r="B8" s="396"/>
      <c r="C8" s="396"/>
      <c r="D8" s="396"/>
      <c r="E8" s="397"/>
      <c r="F8">
        <f>E8*D8</f>
        <v>0</v>
      </c>
      <c r="G8">
        <f>F8*12</f>
        <v>0</v>
      </c>
    </row>
    <row r="9" spans="1:7" x14ac:dyDescent="0.25">
      <c r="A9" s="375" t="s">
        <v>235</v>
      </c>
      <c r="B9" s="398"/>
      <c r="C9" s="398"/>
      <c r="D9" s="398"/>
      <c r="E9" s="399"/>
      <c r="G9">
        <f>SUM(G7:G8)</f>
        <v>0</v>
      </c>
    </row>
    <row r="10" spans="1:7" ht="25.5" x14ac:dyDescent="0.25">
      <c r="A10" s="37"/>
      <c r="B10" s="40" t="s">
        <v>124</v>
      </c>
      <c r="C10" s="400" t="s">
        <v>182</v>
      </c>
      <c r="D10" s="401"/>
      <c r="E10" s="402"/>
    </row>
    <row r="11" spans="1:7" ht="25.5" x14ac:dyDescent="0.25">
      <c r="A11" s="37">
        <v>2</v>
      </c>
      <c r="B11" s="41" t="s">
        <v>9</v>
      </c>
      <c r="C11" s="42"/>
      <c r="D11" s="43"/>
      <c r="E11" s="44">
        <v>1497.22</v>
      </c>
      <c r="G11">
        <f xml:space="preserve"> G9</f>
        <v>0</v>
      </c>
    </row>
    <row r="12" spans="1:7" ht="25.5" x14ac:dyDescent="0.25">
      <c r="A12" s="37">
        <v>3</v>
      </c>
      <c r="B12" s="40" t="s">
        <v>10</v>
      </c>
      <c r="C12" s="400" t="s">
        <v>230</v>
      </c>
      <c r="D12" s="401"/>
      <c r="E12" s="402"/>
    </row>
    <row r="13" spans="1:7" x14ac:dyDescent="0.25">
      <c r="A13" s="37">
        <v>4</v>
      </c>
      <c r="B13" s="45" t="s">
        <v>11</v>
      </c>
      <c r="C13" s="381">
        <v>44621</v>
      </c>
      <c r="D13" s="382"/>
      <c r="E13" s="383"/>
    </row>
    <row r="14" spans="1:7" x14ac:dyDescent="0.25">
      <c r="A14" s="384" t="s">
        <v>12</v>
      </c>
      <c r="B14" s="385"/>
      <c r="C14" s="385"/>
      <c r="D14" s="386"/>
      <c r="E14" s="46"/>
    </row>
    <row r="15" spans="1:7" x14ac:dyDescent="0.25">
      <c r="A15" s="80">
        <v>1</v>
      </c>
      <c r="B15" s="387" t="s">
        <v>13</v>
      </c>
      <c r="C15" s="388"/>
      <c r="D15" s="389"/>
      <c r="E15" s="47" t="s">
        <v>8</v>
      </c>
    </row>
    <row r="16" spans="1:7" x14ac:dyDescent="0.25">
      <c r="A16" s="48" t="s">
        <v>0</v>
      </c>
      <c r="B16" s="49" t="s">
        <v>214</v>
      </c>
      <c r="C16" s="93"/>
      <c r="D16" s="95">
        <v>15.21</v>
      </c>
      <c r="E16" s="50">
        <f>(E11/220)*D16</f>
        <v>103.51</v>
      </c>
    </row>
    <row r="17" spans="1:5" x14ac:dyDescent="0.25">
      <c r="A17" s="48" t="s">
        <v>2</v>
      </c>
      <c r="B17" s="52" t="s">
        <v>16</v>
      </c>
      <c r="C17" s="448">
        <v>0.25</v>
      </c>
      <c r="D17" s="449"/>
      <c r="E17" s="83">
        <f>(E11/220)*D16*C17</f>
        <v>25.88</v>
      </c>
    </row>
    <row r="18" spans="1:5" x14ac:dyDescent="0.25">
      <c r="A18" s="48" t="s">
        <v>5</v>
      </c>
      <c r="B18" s="433" t="s">
        <v>216</v>
      </c>
      <c r="C18" s="434"/>
      <c r="D18" s="435"/>
      <c r="E18" s="83">
        <f>(E16+E17)/25*5</f>
        <v>25.88</v>
      </c>
    </row>
    <row r="19" spans="1:5" ht="21.75" customHeight="1" x14ac:dyDescent="0.25">
      <c r="A19" s="48" t="s">
        <v>123</v>
      </c>
      <c r="B19" s="403" t="s">
        <v>210</v>
      </c>
      <c r="C19" s="404"/>
      <c r="D19" s="405"/>
      <c r="E19" s="51">
        <f>SUM(E16:E18)</f>
        <v>155.27000000000001</v>
      </c>
    </row>
    <row r="20" spans="1:5" x14ac:dyDescent="0.25">
      <c r="A20" s="48" t="s">
        <v>3</v>
      </c>
      <c r="B20" s="49" t="s">
        <v>215</v>
      </c>
      <c r="C20" s="390">
        <v>0.3</v>
      </c>
      <c r="D20" s="391"/>
      <c r="E20" s="83">
        <f>E19*C20</f>
        <v>46.58</v>
      </c>
    </row>
    <row r="21" spans="1:5" x14ac:dyDescent="0.25">
      <c r="A21" s="408" t="s">
        <v>20</v>
      </c>
      <c r="B21" s="409"/>
      <c r="C21" s="409"/>
      <c r="D21" s="411"/>
      <c r="E21" s="54">
        <f>SUM(E19:E20)</f>
        <v>201.85</v>
      </c>
    </row>
    <row r="22" spans="1:5" x14ac:dyDescent="0.25">
      <c r="A22" s="384" t="s">
        <v>45</v>
      </c>
      <c r="B22" s="412"/>
      <c r="C22" s="412"/>
      <c r="D22" s="413"/>
      <c r="E22" s="55"/>
    </row>
    <row r="23" spans="1:5" x14ac:dyDescent="0.25">
      <c r="A23" s="80" t="s">
        <v>134</v>
      </c>
      <c r="B23" s="387" t="s">
        <v>135</v>
      </c>
      <c r="C23" s="388"/>
      <c r="D23" s="389"/>
      <c r="E23" s="47" t="s">
        <v>8</v>
      </c>
    </row>
    <row r="24" spans="1:5" x14ac:dyDescent="0.25">
      <c r="A24" s="56" t="s">
        <v>0</v>
      </c>
      <c r="B24" s="57" t="s">
        <v>27</v>
      </c>
      <c r="C24" s="45"/>
      <c r="D24" s="58">
        <f>1/12</f>
        <v>8.3299999999999999E-2</v>
      </c>
      <c r="E24" s="46">
        <f>ROUND(+$E$21*D24,2)</f>
        <v>16.809999999999999</v>
      </c>
    </row>
    <row r="25" spans="1:5" x14ac:dyDescent="0.25">
      <c r="A25" s="56" t="s">
        <v>2</v>
      </c>
      <c r="B25" s="57" t="s">
        <v>221</v>
      </c>
      <c r="C25" s="45"/>
      <c r="D25" s="58">
        <v>0.1111</v>
      </c>
      <c r="E25" s="46">
        <f>ROUND(+$E$21*D25,2)</f>
        <v>22.43</v>
      </c>
    </row>
    <row r="26" spans="1:5" x14ac:dyDescent="0.25">
      <c r="A26" s="408" t="s">
        <v>25</v>
      </c>
      <c r="B26" s="409"/>
      <c r="C26" s="410"/>
      <c r="D26" s="59">
        <f>SUM(D24:D25)</f>
        <v>0.19439999999999999</v>
      </c>
      <c r="E26" s="54">
        <f>SUM(E24:E25)</f>
        <v>39.24</v>
      </c>
    </row>
    <row r="27" spans="1:5" ht="29.25" customHeight="1" x14ac:dyDescent="0.25">
      <c r="A27" s="414" t="s">
        <v>137</v>
      </c>
      <c r="B27" s="415"/>
      <c r="C27" s="415"/>
      <c r="D27" s="415"/>
      <c r="E27" s="416"/>
    </row>
    <row r="28" spans="1:5" x14ac:dyDescent="0.25">
      <c r="A28" s="80" t="s">
        <v>138</v>
      </c>
      <c r="B28" s="387" t="s">
        <v>23</v>
      </c>
      <c r="C28" s="388"/>
      <c r="D28" s="389"/>
      <c r="E28" s="47" t="s">
        <v>8</v>
      </c>
    </row>
    <row r="29" spans="1:5" x14ac:dyDescent="0.25">
      <c r="A29" s="56" t="s">
        <v>0</v>
      </c>
      <c r="B29" s="60" t="s">
        <v>139</v>
      </c>
      <c r="C29" s="45"/>
      <c r="D29" s="58">
        <v>0.2</v>
      </c>
      <c r="E29" s="46">
        <f>(E21+E26)*D29</f>
        <v>48.22</v>
      </c>
    </row>
    <row r="30" spans="1:5" x14ac:dyDescent="0.25">
      <c r="A30" s="56" t="s">
        <v>2</v>
      </c>
      <c r="B30" s="61" t="s">
        <v>140</v>
      </c>
      <c r="C30" s="45"/>
      <c r="D30" s="58">
        <v>1.4999999999999999E-2</v>
      </c>
      <c r="E30" s="46">
        <f>(E21+E26)*D30</f>
        <v>3.62</v>
      </c>
    </row>
    <row r="31" spans="1:5" x14ac:dyDescent="0.25">
      <c r="A31" s="56" t="s">
        <v>3</v>
      </c>
      <c r="B31" s="45" t="s">
        <v>141</v>
      </c>
      <c r="C31" s="45"/>
      <c r="D31" s="58">
        <v>0.01</v>
      </c>
      <c r="E31" s="46">
        <f>(E21+E26)*D31</f>
        <v>2.41</v>
      </c>
    </row>
    <row r="32" spans="1:5" x14ac:dyDescent="0.25">
      <c r="A32" s="56" t="s">
        <v>5</v>
      </c>
      <c r="B32" s="62" t="s">
        <v>142</v>
      </c>
      <c r="C32" s="45"/>
      <c r="D32" s="58">
        <v>2E-3</v>
      </c>
      <c r="E32" s="46">
        <f>(E21+E26)*D32</f>
        <v>0.48</v>
      </c>
    </row>
    <row r="33" spans="1:5" x14ac:dyDescent="0.25">
      <c r="A33" s="56" t="s">
        <v>17</v>
      </c>
      <c r="B33" s="45" t="s">
        <v>143</v>
      </c>
      <c r="C33" s="45"/>
      <c r="D33" s="58">
        <v>2.5000000000000001E-2</v>
      </c>
      <c r="E33" s="46">
        <f>(E21+E26)*D33</f>
        <v>6.03</v>
      </c>
    </row>
    <row r="34" spans="1:5" x14ac:dyDescent="0.25">
      <c r="A34" s="56" t="s">
        <v>18</v>
      </c>
      <c r="B34" s="61" t="s">
        <v>144</v>
      </c>
      <c r="C34" s="45"/>
      <c r="D34" s="58">
        <v>0.08</v>
      </c>
      <c r="E34" s="46">
        <f>(E21+E26)*D34</f>
        <v>19.29</v>
      </c>
    </row>
    <row r="35" spans="1:5" x14ac:dyDescent="0.25">
      <c r="A35" s="56" t="s">
        <v>19</v>
      </c>
      <c r="B35" s="62" t="s">
        <v>145</v>
      </c>
      <c r="C35" s="45"/>
      <c r="D35" s="58">
        <v>0.03</v>
      </c>
      <c r="E35" s="46">
        <f>(E21+E26)*D35</f>
        <v>7.23</v>
      </c>
    </row>
    <row r="36" spans="1:5" x14ac:dyDescent="0.25">
      <c r="A36" s="63" t="s">
        <v>24</v>
      </c>
      <c r="B36" s="64" t="s">
        <v>146</v>
      </c>
      <c r="C36" s="65"/>
      <c r="D36" s="66">
        <v>6.0000000000000001E-3</v>
      </c>
      <c r="E36" s="55">
        <f>(E21+E26)*D36</f>
        <v>1.45</v>
      </c>
    </row>
    <row r="37" spans="1:5" x14ac:dyDescent="0.25">
      <c r="A37" s="408" t="s">
        <v>25</v>
      </c>
      <c r="B37" s="409"/>
      <c r="C37" s="410"/>
      <c r="D37" s="59">
        <f>SUM(D29:D36)</f>
        <v>0.36799999999999999</v>
      </c>
      <c r="E37" s="54">
        <f>SUM(E29:E36)</f>
        <v>88.73</v>
      </c>
    </row>
    <row r="38" spans="1:5" x14ac:dyDescent="0.25">
      <c r="A38" s="80" t="s">
        <v>147</v>
      </c>
      <c r="B38" s="387" t="s">
        <v>148</v>
      </c>
      <c r="C38" s="388"/>
      <c r="D38" s="389"/>
      <c r="E38" s="47" t="s">
        <v>8</v>
      </c>
    </row>
    <row r="39" spans="1:5" x14ac:dyDescent="0.25">
      <c r="A39" s="56" t="s">
        <v>0</v>
      </c>
      <c r="B39" s="356" t="s">
        <v>218</v>
      </c>
      <c r="C39" s="357"/>
      <c r="D39" s="342"/>
      <c r="E39" s="88">
        <f>(30*4.05)-(E16*0.06*50%)</f>
        <v>118.39</v>
      </c>
    </row>
    <row r="40" spans="1:5" x14ac:dyDescent="0.25">
      <c r="A40" s="56" t="s">
        <v>2</v>
      </c>
      <c r="B40" s="356" t="s">
        <v>217</v>
      </c>
      <c r="C40" s="357"/>
      <c r="D40" s="342"/>
      <c r="E40" s="90">
        <f>(3*D16)-(3*D16*1%)</f>
        <v>45.17</v>
      </c>
    </row>
    <row r="41" spans="1:5" x14ac:dyDescent="0.25">
      <c r="A41" s="56" t="s">
        <v>3</v>
      </c>
      <c r="B41" s="356" t="s">
        <v>219</v>
      </c>
      <c r="C41" s="357"/>
      <c r="D41" s="342"/>
      <c r="E41" s="90">
        <f>(((E16*16%)-(E16*1%))/12)</f>
        <v>1.29</v>
      </c>
    </row>
    <row r="42" spans="1:5" x14ac:dyDescent="0.25">
      <c r="A42" s="56" t="s">
        <v>5</v>
      </c>
      <c r="B42" s="53" t="s">
        <v>149</v>
      </c>
      <c r="C42" s="91" t="s">
        <v>205</v>
      </c>
      <c r="D42" s="85">
        <v>12.51</v>
      </c>
      <c r="E42" s="88">
        <f>D42</f>
        <v>12.51</v>
      </c>
    </row>
    <row r="43" spans="1:5" ht="25.5" x14ac:dyDescent="0.25">
      <c r="A43" s="56" t="s">
        <v>17</v>
      </c>
      <c r="B43" s="53" t="s">
        <v>232</v>
      </c>
      <c r="C43" s="91" t="s">
        <v>231</v>
      </c>
      <c r="D43" s="85">
        <v>8.5</v>
      </c>
      <c r="E43" s="88">
        <f t="shared" ref="E43" si="0">D43</f>
        <v>8.5</v>
      </c>
    </row>
    <row r="44" spans="1:5" x14ac:dyDescent="0.25">
      <c r="A44" s="408" t="s">
        <v>21</v>
      </c>
      <c r="B44" s="409"/>
      <c r="C44" s="409"/>
      <c r="D44" s="411"/>
      <c r="E44" s="54">
        <f>SUM(E39:E43)</f>
        <v>185.86</v>
      </c>
    </row>
    <row r="45" spans="1:5" x14ac:dyDescent="0.25">
      <c r="A45" s="384" t="s">
        <v>150</v>
      </c>
      <c r="B45" s="385"/>
      <c r="C45" s="385"/>
      <c r="D45" s="386"/>
      <c r="E45" s="46"/>
    </row>
    <row r="46" spans="1:5" x14ac:dyDescent="0.25">
      <c r="A46" s="80" t="s">
        <v>134</v>
      </c>
      <c r="B46" s="387" t="s">
        <v>151</v>
      </c>
      <c r="C46" s="388"/>
      <c r="D46" s="389"/>
      <c r="E46" s="47">
        <f>E26</f>
        <v>39.24</v>
      </c>
    </row>
    <row r="47" spans="1:5" x14ac:dyDescent="0.25">
      <c r="A47" s="80" t="s">
        <v>138</v>
      </c>
      <c r="B47" s="57" t="s">
        <v>152</v>
      </c>
      <c r="C47" s="45"/>
      <c r="D47" s="67" t="s">
        <v>123</v>
      </c>
      <c r="E47" s="46">
        <f>E37</f>
        <v>88.73</v>
      </c>
    </row>
    <row r="48" spans="1:5" x14ac:dyDescent="0.25">
      <c r="A48" s="80" t="s">
        <v>147</v>
      </c>
      <c r="B48" s="57" t="s">
        <v>153</v>
      </c>
      <c r="C48" s="45"/>
      <c r="D48" s="67" t="s">
        <v>123</v>
      </c>
      <c r="E48" s="46">
        <f>E44</f>
        <v>185.86</v>
      </c>
    </row>
    <row r="49" spans="1:15" x14ac:dyDescent="0.25">
      <c r="A49" s="408" t="s">
        <v>25</v>
      </c>
      <c r="B49" s="409"/>
      <c r="C49" s="410"/>
      <c r="D49" s="68" t="s">
        <v>123</v>
      </c>
      <c r="E49" s="54">
        <f>SUM(E46:E48)</f>
        <v>313.83</v>
      </c>
    </row>
    <row r="50" spans="1:15" x14ac:dyDescent="0.25">
      <c r="A50" s="384" t="s">
        <v>154</v>
      </c>
      <c r="B50" s="385"/>
      <c r="C50" s="385"/>
      <c r="D50" s="386"/>
      <c r="E50" s="46"/>
    </row>
    <row r="51" spans="1:15" x14ac:dyDescent="0.25">
      <c r="A51" s="80" t="s">
        <v>155</v>
      </c>
      <c r="B51" s="387" t="s">
        <v>28</v>
      </c>
      <c r="C51" s="388"/>
      <c r="D51" s="389"/>
      <c r="E51" s="47" t="s">
        <v>8</v>
      </c>
    </row>
    <row r="52" spans="1:15" x14ac:dyDescent="0.25">
      <c r="A52" s="56" t="s">
        <v>0</v>
      </c>
      <c r="B52" s="57" t="s">
        <v>156</v>
      </c>
      <c r="C52" s="61"/>
      <c r="D52" s="58">
        <v>4.5999999999999999E-3</v>
      </c>
      <c r="E52" s="46">
        <f t="shared" ref="E52:E56" si="1">ROUND(+D52*$E$21,2)</f>
        <v>0.93</v>
      </c>
    </row>
    <row r="53" spans="1:15" ht="25.5" x14ac:dyDescent="0.25">
      <c r="A53" s="56" t="s">
        <v>2</v>
      </c>
      <c r="B53" s="53" t="s">
        <v>157</v>
      </c>
      <c r="C53" s="61"/>
      <c r="D53" s="58">
        <f>D34*D52</f>
        <v>4.0000000000000002E-4</v>
      </c>
      <c r="E53" s="46">
        <f t="shared" si="1"/>
        <v>0.08</v>
      </c>
    </row>
    <row r="54" spans="1:15" x14ac:dyDescent="0.25">
      <c r="A54" s="56" t="s">
        <v>3</v>
      </c>
      <c r="B54" s="69" t="s">
        <v>29</v>
      </c>
      <c r="C54" s="61"/>
      <c r="D54" s="58">
        <v>1.9400000000000001E-2</v>
      </c>
      <c r="E54" s="46">
        <f t="shared" si="1"/>
        <v>3.92</v>
      </c>
    </row>
    <row r="55" spans="1:15" ht="25.5" x14ac:dyDescent="0.25">
      <c r="A55" s="56" t="s">
        <v>5</v>
      </c>
      <c r="B55" s="53" t="s">
        <v>158</v>
      </c>
      <c r="C55" s="61"/>
      <c r="D55" s="58">
        <f>D37*D54</f>
        <v>7.1000000000000004E-3</v>
      </c>
      <c r="E55" s="46">
        <f t="shared" si="1"/>
        <v>1.43</v>
      </c>
    </row>
    <row r="56" spans="1:15" ht="51" x14ac:dyDescent="0.25">
      <c r="A56" s="56" t="s">
        <v>17</v>
      </c>
      <c r="B56" s="53" t="s">
        <v>211</v>
      </c>
      <c r="C56" s="61"/>
      <c r="D56" s="58">
        <f>4%</f>
        <v>0.04</v>
      </c>
      <c r="E56" s="46">
        <f t="shared" si="1"/>
        <v>8.07</v>
      </c>
    </row>
    <row r="57" spans="1:15" x14ac:dyDescent="0.25">
      <c r="A57" s="408" t="s">
        <v>25</v>
      </c>
      <c r="B57" s="409"/>
      <c r="C57" s="409"/>
      <c r="D57" s="70">
        <f>SUM(D52:D56)</f>
        <v>7.1499999999999994E-2</v>
      </c>
      <c r="E57" s="54">
        <f>SUM(E52:E56)</f>
        <v>14.43</v>
      </c>
    </row>
    <row r="58" spans="1:15" x14ac:dyDescent="0.25">
      <c r="A58" s="384" t="s">
        <v>159</v>
      </c>
      <c r="B58" s="385"/>
      <c r="C58" s="385"/>
      <c r="D58" s="386"/>
      <c r="E58" s="46"/>
    </row>
    <row r="59" spans="1:15" x14ac:dyDescent="0.25">
      <c r="A59" s="80" t="s">
        <v>22</v>
      </c>
      <c r="B59" s="436" t="s">
        <v>160</v>
      </c>
      <c r="C59" s="385"/>
      <c r="D59" s="386"/>
      <c r="E59" s="47" t="s">
        <v>8</v>
      </c>
    </row>
    <row r="60" spans="1:15" x14ac:dyDescent="0.25">
      <c r="A60" s="56" t="s">
        <v>0</v>
      </c>
      <c r="B60" s="57" t="s">
        <v>220</v>
      </c>
      <c r="C60" s="45"/>
      <c r="D60" s="58">
        <f>((1+1/3)/12)/12</f>
        <v>9.2999999999999992E-3</v>
      </c>
      <c r="E60" s="46">
        <f>(E21+E49+E57+E78)*D60</f>
        <v>5.56</v>
      </c>
    </row>
    <row r="61" spans="1:15" ht="25.5" x14ac:dyDescent="0.25">
      <c r="A61" s="56" t="s">
        <v>2</v>
      </c>
      <c r="B61" s="57" t="s">
        <v>162</v>
      </c>
      <c r="C61" s="45"/>
      <c r="D61" s="58">
        <v>1.66E-2</v>
      </c>
      <c r="E61" s="46">
        <f>(E21+E49+E57+E78)*D61</f>
        <v>9.93</v>
      </c>
      <c r="F61" s="417" t="s">
        <v>222</v>
      </c>
      <c r="G61" s="418"/>
      <c r="H61" s="418"/>
      <c r="I61" s="418"/>
      <c r="J61" s="418"/>
      <c r="K61" s="418"/>
      <c r="L61" s="418"/>
      <c r="M61" s="418"/>
    </row>
    <row r="62" spans="1:15" ht="25.5" x14ac:dyDescent="0.25">
      <c r="A62" s="56" t="s">
        <v>3</v>
      </c>
      <c r="B62" s="57" t="s">
        <v>163</v>
      </c>
      <c r="C62" s="45"/>
      <c r="D62" s="58">
        <f>(5/30)*(1/12)*6.24%*95.04%</f>
        <v>8.0000000000000004E-4</v>
      </c>
      <c r="E62" s="46">
        <f>(E21+E49+E57+E78)*D62</f>
        <v>0.48</v>
      </c>
      <c r="F62" s="437" t="s">
        <v>223</v>
      </c>
      <c r="G62" s="438"/>
      <c r="H62" s="438"/>
      <c r="I62" s="438"/>
      <c r="J62" s="438"/>
      <c r="K62" s="438"/>
      <c r="L62" s="438"/>
      <c r="M62" s="438"/>
      <c r="N62" s="438"/>
      <c r="O62" s="438"/>
    </row>
    <row r="63" spans="1:15" ht="25.5" x14ac:dyDescent="0.25">
      <c r="A63" s="56" t="s">
        <v>5</v>
      </c>
      <c r="B63" s="57" t="s">
        <v>164</v>
      </c>
      <c r="C63" s="45"/>
      <c r="D63" s="58">
        <f>(1/30)*(1/12)</f>
        <v>2.8E-3</v>
      </c>
      <c r="E63" s="46">
        <f>(E21+E49+E57+E78)*D63</f>
        <v>1.68</v>
      </c>
      <c r="F63" s="439" t="s">
        <v>224</v>
      </c>
      <c r="G63" s="440"/>
      <c r="H63" s="440"/>
      <c r="I63" s="440"/>
      <c r="J63" s="440"/>
      <c r="K63" s="440"/>
      <c r="L63" s="440"/>
      <c r="M63" s="440"/>
      <c r="N63" s="440"/>
      <c r="O63" s="440"/>
    </row>
    <row r="64" spans="1:15" ht="25.5" x14ac:dyDescent="0.25">
      <c r="A64" s="56" t="s">
        <v>17</v>
      </c>
      <c r="B64" s="57" t="s">
        <v>165</v>
      </c>
      <c r="C64" s="45"/>
      <c r="D64" s="58">
        <f>(0.91/30)*(1/12)</f>
        <v>2.5000000000000001E-3</v>
      </c>
      <c r="E64" s="46">
        <f>(E21+E49+E57+E78)*D64</f>
        <v>1.5</v>
      </c>
      <c r="F64" s="439" t="s">
        <v>225</v>
      </c>
      <c r="G64" s="440"/>
      <c r="H64" s="440"/>
      <c r="I64" s="440"/>
      <c r="J64" s="440"/>
      <c r="K64" s="440"/>
      <c r="L64" s="440"/>
      <c r="M64" s="440"/>
      <c r="N64" s="440"/>
      <c r="O64" s="440"/>
    </row>
    <row r="65" spans="1:15" ht="25.5" customHeight="1" x14ac:dyDescent="0.25">
      <c r="A65" s="56" t="s">
        <v>18</v>
      </c>
      <c r="B65" s="441" t="s">
        <v>233</v>
      </c>
      <c r="C65" s="442"/>
      <c r="D65" s="86">
        <f>(7/30)*(1/24)</f>
        <v>9.7000000000000003E-3</v>
      </c>
      <c r="E65" s="46">
        <f>(E21+E49+E57+E78)*D65</f>
        <v>5.8</v>
      </c>
      <c r="F65" s="439" t="s">
        <v>226</v>
      </c>
      <c r="G65" s="440"/>
      <c r="H65" s="440"/>
      <c r="I65" s="440"/>
      <c r="J65" s="440"/>
      <c r="K65" s="440"/>
      <c r="L65" s="440"/>
      <c r="M65" s="440"/>
      <c r="N65" s="440"/>
      <c r="O65" s="440"/>
    </row>
    <row r="66" spans="1:15" x14ac:dyDescent="0.25">
      <c r="A66" s="408" t="s">
        <v>166</v>
      </c>
      <c r="B66" s="409"/>
      <c r="C66" s="411"/>
      <c r="D66" s="70">
        <f>SUM(D60:D65)</f>
        <v>4.1700000000000001E-2</v>
      </c>
      <c r="E66" s="54">
        <f>SUM(E60:E65)</f>
        <v>24.95</v>
      </c>
    </row>
    <row r="67" spans="1:15" x14ac:dyDescent="0.25">
      <c r="A67" s="384"/>
      <c r="B67" s="385"/>
      <c r="C67" s="385"/>
      <c r="D67" s="386"/>
      <c r="E67" s="46"/>
    </row>
    <row r="68" spans="1:15" x14ac:dyDescent="0.25">
      <c r="A68" s="80" t="s">
        <v>123</v>
      </c>
      <c r="B68" s="387" t="s">
        <v>167</v>
      </c>
      <c r="C68" s="388"/>
      <c r="D68" s="389"/>
      <c r="E68" s="47" t="s">
        <v>8</v>
      </c>
    </row>
    <row r="69" spans="1:15" x14ac:dyDescent="0.25">
      <c r="A69" s="56" t="s">
        <v>0</v>
      </c>
      <c r="B69" s="57" t="s">
        <v>168</v>
      </c>
      <c r="C69" s="45"/>
      <c r="D69" s="58"/>
      <c r="E69" s="46">
        <f>0</f>
        <v>0</v>
      </c>
      <c r="G69" s="87"/>
    </row>
    <row r="70" spans="1:15" x14ac:dyDescent="0.25">
      <c r="A70" s="408" t="s">
        <v>25</v>
      </c>
      <c r="B70" s="409"/>
      <c r="C70" s="409"/>
      <c r="D70" s="59"/>
      <c r="E70" s="54">
        <f>E69</f>
        <v>0</v>
      </c>
    </row>
    <row r="71" spans="1:15" x14ac:dyDescent="0.25">
      <c r="A71" s="384" t="s">
        <v>169</v>
      </c>
      <c r="B71" s="385"/>
      <c r="C71" s="385"/>
      <c r="D71" s="386"/>
      <c r="E71" s="46"/>
    </row>
    <row r="72" spans="1:15" x14ac:dyDescent="0.25">
      <c r="A72" s="80">
        <v>4</v>
      </c>
      <c r="B72" s="387" t="s">
        <v>30</v>
      </c>
      <c r="C72" s="388"/>
      <c r="D72" s="389"/>
      <c r="E72" s="47" t="s">
        <v>8</v>
      </c>
    </row>
    <row r="73" spans="1:15" x14ac:dyDescent="0.25">
      <c r="A73" s="56" t="s">
        <v>22</v>
      </c>
      <c r="B73" s="57" t="s">
        <v>160</v>
      </c>
      <c r="C73" s="45"/>
      <c r="D73" s="58">
        <f>D66</f>
        <v>4.1700000000000001E-2</v>
      </c>
      <c r="E73" s="46">
        <f>E66</f>
        <v>24.95</v>
      </c>
    </row>
    <row r="74" spans="1:15" x14ac:dyDescent="0.25">
      <c r="A74" s="56" t="s">
        <v>26</v>
      </c>
      <c r="B74" s="57" t="s">
        <v>167</v>
      </c>
      <c r="C74" s="61"/>
      <c r="D74" s="58"/>
      <c r="E74" s="46">
        <f>E70</f>
        <v>0</v>
      </c>
    </row>
    <row r="75" spans="1:15" x14ac:dyDescent="0.25">
      <c r="A75" s="408" t="s">
        <v>170</v>
      </c>
      <c r="B75" s="409"/>
      <c r="C75" s="411"/>
      <c r="D75" s="70">
        <f>SUM(D70:D74)</f>
        <v>4.1700000000000001E-2</v>
      </c>
      <c r="E75" s="54">
        <f>SUM(E73+E74)</f>
        <v>24.95</v>
      </c>
    </row>
    <row r="76" spans="1:15" x14ac:dyDescent="0.25">
      <c r="A76" s="384" t="s">
        <v>171</v>
      </c>
      <c r="B76" s="385"/>
      <c r="C76" s="385"/>
      <c r="D76" s="386"/>
      <c r="E76" s="46"/>
    </row>
    <row r="77" spans="1:15" x14ac:dyDescent="0.25">
      <c r="A77" s="80">
        <v>5</v>
      </c>
      <c r="B77" s="387" t="s">
        <v>172</v>
      </c>
      <c r="C77" s="388"/>
      <c r="D77" s="389"/>
      <c r="E77" s="47" t="s">
        <v>8</v>
      </c>
    </row>
    <row r="78" spans="1:15" x14ac:dyDescent="0.25">
      <c r="A78" s="56" t="s">
        <v>0</v>
      </c>
      <c r="B78" s="57" t="s">
        <v>173</v>
      </c>
      <c r="C78" s="61" t="s">
        <v>206</v>
      </c>
      <c r="D78" s="58" t="s">
        <v>123</v>
      </c>
      <c r="E78" s="46">
        <f>'Mat. Unif.-LOTE I'!I13</f>
        <v>68.239999999999995</v>
      </c>
    </row>
    <row r="79" spans="1:15" x14ac:dyDescent="0.25">
      <c r="A79" s="56" t="s">
        <v>2</v>
      </c>
      <c r="B79" s="57" t="s">
        <v>174</v>
      </c>
      <c r="C79" s="45"/>
      <c r="D79" s="58"/>
      <c r="E79" s="46">
        <f>0</f>
        <v>0</v>
      </c>
    </row>
    <row r="80" spans="1:15" x14ac:dyDescent="0.25">
      <c r="A80" s="56" t="s">
        <v>3</v>
      </c>
      <c r="B80" s="57" t="s">
        <v>175</v>
      </c>
      <c r="C80" s="45"/>
      <c r="D80" s="58"/>
      <c r="E80" s="46">
        <v>0</v>
      </c>
    </row>
    <row r="81" spans="1:5" x14ac:dyDescent="0.25">
      <c r="A81" s="56" t="s">
        <v>5</v>
      </c>
      <c r="B81" s="57" t="s">
        <v>212</v>
      </c>
      <c r="C81" s="61" t="s">
        <v>227</v>
      </c>
      <c r="D81" s="58"/>
      <c r="E81" s="46">
        <v>29.92</v>
      </c>
    </row>
    <row r="82" spans="1:5" x14ac:dyDescent="0.25">
      <c r="A82" s="408" t="s">
        <v>176</v>
      </c>
      <c r="B82" s="409"/>
      <c r="C82" s="411"/>
      <c r="D82" s="70" t="s">
        <v>123</v>
      </c>
      <c r="E82" s="54">
        <f>SUM(E78:E81)</f>
        <v>98.16</v>
      </c>
    </row>
    <row r="83" spans="1:5" ht="18" customHeight="1" x14ac:dyDescent="0.25">
      <c r="A83" s="364" t="s">
        <v>213</v>
      </c>
      <c r="B83" s="365"/>
      <c r="C83" s="365"/>
      <c r="D83" s="365"/>
      <c r="E83" s="366"/>
    </row>
    <row r="84" spans="1:5" x14ac:dyDescent="0.25">
      <c r="A84" s="430" t="s">
        <v>41</v>
      </c>
      <c r="B84" s="360"/>
      <c r="C84" s="360"/>
      <c r="D84" s="361"/>
      <c r="E84" s="39" t="s">
        <v>8</v>
      </c>
    </row>
    <row r="85" spans="1:5" x14ac:dyDescent="0.25">
      <c r="A85" s="80" t="s">
        <v>0</v>
      </c>
      <c r="B85" s="387" t="s">
        <v>42</v>
      </c>
      <c r="C85" s="431"/>
      <c r="D85" s="432"/>
      <c r="E85" s="46">
        <f>+E21</f>
        <v>201.85</v>
      </c>
    </row>
    <row r="86" spans="1:5" x14ac:dyDescent="0.25">
      <c r="A86" s="80" t="s">
        <v>2</v>
      </c>
      <c r="B86" s="387" t="s">
        <v>178</v>
      </c>
      <c r="C86" s="431"/>
      <c r="D86" s="432"/>
      <c r="E86" s="46">
        <f>E49</f>
        <v>313.83</v>
      </c>
    </row>
    <row r="87" spans="1:5" x14ac:dyDescent="0.25">
      <c r="A87" s="80" t="s">
        <v>3</v>
      </c>
      <c r="B87" s="387" t="s">
        <v>179</v>
      </c>
      <c r="C87" s="431"/>
      <c r="D87" s="432"/>
      <c r="E87" s="46">
        <f>E57</f>
        <v>14.43</v>
      </c>
    </row>
    <row r="88" spans="1:5" x14ac:dyDescent="0.25">
      <c r="A88" s="80" t="s">
        <v>5</v>
      </c>
      <c r="B88" s="387" t="s">
        <v>180</v>
      </c>
      <c r="C88" s="431"/>
      <c r="D88" s="432"/>
      <c r="E88" s="46">
        <f>E75</f>
        <v>24.95</v>
      </c>
    </row>
    <row r="89" spans="1:5" ht="15.75" thickBot="1" x14ac:dyDescent="0.3">
      <c r="A89" s="97" t="s">
        <v>17</v>
      </c>
      <c r="B89" s="419" t="s">
        <v>181</v>
      </c>
      <c r="C89" s="420"/>
      <c r="D89" s="421"/>
      <c r="E89" s="74">
        <f>E82</f>
        <v>98.16</v>
      </c>
    </row>
    <row r="90" spans="1:5" ht="15.75" thickBot="1" x14ac:dyDescent="0.3">
      <c r="A90" s="422" t="s">
        <v>43</v>
      </c>
      <c r="B90" s="423"/>
      <c r="C90" s="423"/>
      <c r="D90" s="424"/>
      <c r="E90" s="101">
        <f>SUM(E85:E89)</f>
        <v>653.22</v>
      </c>
    </row>
    <row r="91" spans="1:5" ht="13.5" hidden="1" customHeight="1" x14ac:dyDescent="0.25">
      <c r="A91" s="443" t="s">
        <v>228</v>
      </c>
      <c r="B91" s="444"/>
      <c r="C91" s="444"/>
      <c r="D91" s="444"/>
      <c r="E91" s="84">
        <f>E90*2</f>
        <v>1306.44</v>
      </c>
    </row>
    <row r="92" spans="1:5" ht="13.5" hidden="1" customHeight="1" x14ac:dyDescent="0.25">
      <c r="A92" s="445"/>
      <c r="B92" s="446"/>
      <c r="C92" s="446"/>
      <c r="D92" s="446"/>
      <c r="E92" s="447"/>
    </row>
  </sheetData>
  <mergeCells count="64">
    <mergeCell ref="A91:D91"/>
    <mergeCell ref="A92:E92"/>
    <mergeCell ref="C17:D17"/>
    <mergeCell ref="B85:D85"/>
    <mergeCell ref="B86:D86"/>
    <mergeCell ref="B87:D87"/>
    <mergeCell ref="B88:D88"/>
    <mergeCell ref="B89:D89"/>
    <mergeCell ref="A90:D90"/>
    <mergeCell ref="A75:C75"/>
    <mergeCell ref="A76:D76"/>
    <mergeCell ref="B77:D77"/>
    <mergeCell ref="A82:C82"/>
    <mergeCell ref="A83:E83"/>
    <mergeCell ref="A84:D84"/>
    <mergeCell ref="A66:C66"/>
    <mergeCell ref="A67:D67"/>
    <mergeCell ref="B68:D68"/>
    <mergeCell ref="A70:C70"/>
    <mergeCell ref="A71:D71"/>
    <mergeCell ref="B72:D72"/>
    <mergeCell ref="B65:C65"/>
    <mergeCell ref="F65:O65"/>
    <mergeCell ref="B46:D46"/>
    <mergeCell ref="A49:C49"/>
    <mergeCell ref="A50:D50"/>
    <mergeCell ref="B51:D51"/>
    <mergeCell ref="A57:C57"/>
    <mergeCell ref="A58:D58"/>
    <mergeCell ref="B59:D59"/>
    <mergeCell ref="F61:M61"/>
    <mergeCell ref="F62:O62"/>
    <mergeCell ref="F63:O63"/>
    <mergeCell ref="F64:O64"/>
    <mergeCell ref="A45:D45"/>
    <mergeCell ref="A22:D22"/>
    <mergeCell ref="B23:D23"/>
    <mergeCell ref="A26:C26"/>
    <mergeCell ref="A27:E27"/>
    <mergeCell ref="B28:D28"/>
    <mergeCell ref="A37:C37"/>
    <mergeCell ref="B38:D38"/>
    <mergeCell ref="B39:D39"/>
    <mergeCell ref="B40:D40"/>
    <mergeCell ref="B41:D41"/>
    <mergeCell ref="A44:D44"/>
    <mergeCell ref="A21:D21"/>
    <mergeCell ref="A7:E7"/>
    <mergeCell ref="A8:E8"/>
    <mergeCell ref="A9:E9"/>
    <mergeCell ref="C10:E10"/>
    <mergeCell ref="C12:E12"/>
    <mergeCell ref="C13:E13"/>
    <mergeCell ref="A14:D14"/>
    <mergeCell ref="B15:D15"/>
    <mergeCell ref="C20:D20"/>
    <mergeCell ref="B18:D18"/>
    <mergeCell ref="B19:D19"/>
    <mergeCell ref="C6:E6"/>
    <mergeCell ref="A1:E1"/>
    <mergeCell ref="A2:E2"/>
    <mergeCell ref="C3:E3"/>
    <mergeCell ref="C4:E4"/>
    <mergeCell ref="C5:E5"/>
  </mergeCells>
  <hyperlinks>
    <hyperlink ref="B36" r:id="rId1" display="08 - Sebrae 0,3% ou 0,6% - IN nº 03, MPS/SRP/2005, Anexo II e III ver código da Tabela"/>
  </hyperlinks>
  <pageMargins left="0.511811024" right="0.511811024" top="0.78740157499999996" bottom="0.78740157499999996" header="0.31496062000000002" footer="0.31496062000000002"/>
  <pageSetup paperSize="9" scale="47" orientation="portrait"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pageSetUpPr fitToPage="1"/>
  </sheetPr>
  <dimension ref="A1:P53"/>
  <sheetViews>
    <sheetView showGridLines="0" topLeftCell="A34" zoomScale="85" zoomScaleNormal="85" zoomScaleSheetLayoutView="70" zoomScalePageLayoutView="80" workbookViewId="0">
      <selection activeCell="J43" sqref="J43"/>
    </sheetView>
  </sheetViews>
  <sheetFormatPr defaultColWidth="9.140625" defaultRowHeight="15.75" x14ac:dyDescent="0.25"/>
  <cols>
    <col min="1" max="1" width="8.28515625" style="29" customWidth="1"/>
    <col min="2" max="2" width="52" style="30" customWidth="1"/>
    <col min="3" max="3" width="47.5703125" style="30" customWidth="1"/>
    <col min="4" max="4" width="12.85546875" style="29" customWidth="1"/>
    <col min="5" max="5" width="4.42578125" style="31" customWidth="1"/>
    <col min="6" max="6" width="14" style="31" customWidth="1"/>
    <col min="7" max="7" width="4.42578125" style="31" customWidth="1"/>
    <col min="8" max="8" width="13.7109375" style="31" customWidth="1"/>
    <col min="9" max="9" width="18.28515625" style="31" customWidth="1"/>
    <col min="10" max="10" width="15.42578125" style="173" customWidth="1"/>
    <col min="11" max="13" width="9.140625" style="28"/>
    <col min="14" max="14" width="12.85546875" style="28" customWidth="1"/>
    <col min="15" max="15" width="9.140625" style="28"/>
    <col min="16" max="16" width="10.7109375" style="28" bestFit="1" customWidth="1"/>
    <col min="17" max="16384" width="9.140625" style="28"/>
  </cols>
  <sheetData>
    <row r="1" spans="1:10" ht="21.75" thickBot="1" x14ac:dyDescent="0.3">
      <c r="A1" s="450" t="s">
        <v>301</v>
      </c>
      <c r="B1" s="451"/>
      <c r="C1" s="451"/>
      <c r="D1" s="451"/>
      <c r="E1" s="451"/>
      <c r="F1" s="451"/>
      <c r="G1" s="451"/>
      <c r="H1" s="451"/>
      <c r="I1" s="451"/>
      <c r="J1" s="452"/>
    </row>
    <row r="2" spans="1:10" ht="31.5" customHeight="1" x14ac:dyDescent="0.25">
      <c r="A2" s="453" t="s">
        <v>128</v>
      </c>
      <c r="B2" s="454"/>
      <c r="C2" s="197" t="s">
        <v>129</v>
      </c>
      <c r="D2" s="454" t="s">
        <v>130</v>
      </c>
      <c r="E2" s="454"/>
      <c r="F2" s="457" t="s">
        <v>132</v>
      </c>
      <c r="G2" s="457"/>
      <c r="H2" s="191"/>
      <c r="I2" s="457" t="s">
        <v>131</v>
      </c>
      <c r="J2" s="458"/>
    </row>
    <row r="3" spans="1:10" x14ac:dyDescent="0.25">
      <c r="A3" s="455" t="s">
        <v>249</v>
      </c>
      <c r="B3" s="456"/>
      <c r="C3" s="34">
        <v>2</v>
      </c>
      <c r="D3" s="459">
        <v>114.83</v>
      </c>
      <c r="E3" s="459"/>
      <c r="F3" s="460">
        <f>+D3*C3</f>
        <v>229.66</v>
      </c>
      <c r="G3" s="460"/>
      <c r="H3" s="158"/>
      <c r="I3" s="460">
        <f>+F3/12</f>
        <v>19.14</v>
      </c>
      <c r="J3" s="461"/>
    </row>
    <row r="4" spans="1:10" ht="20.25" customHeight="1" x14ac:dyDescent="0.25">
      <c r="A4" s="455" t="s">
        <v>289</v>
      </c>
      <c r="B4" s="456"/>
      <c r="C4" s="34">
        <v>2</v>
      </c>
      <c r="D4" s="459">
        <v>65</v>
      </c>
      <c r="E4" s="459"/>
      <c r="F4" s="460">
        <f t="shared" ref="F4:F12" si="0">D4*C4</f>
        <v>130</v>
      </c>
      <c r="G4" s="460"/>
      <c r="H4" s="158"/>
      <c r="I4" s="460">
        <f t="shared" ref="I4:I12" si="1">F4/12</f>
        <v>10.83</v>
      </c>
      <c r="J4" s="461"/>
    </row>
    <row r="5" spans="1:10" x14ac:dyDescent="0.25">
      <c r="A5" s="455" t="s">
        <v>183</v>
      </c>
      <c r="B5" s="456"/>
      <c r="C5" s="35">
        <v>1</v>
      </c>
      <c r="D5" s="459">
        <v>80</v>
      </c>
      <c r="E5" s="459"/>
      <c r="F5" s="460">
        <f t="shared" si="0"/>
        <v>80</v>
      </c>
      <c r="G5" s="460"/>
      <c r="H5" s="158"/>
      <c r="I5" s="460">
        <f t="shared" si="1"/>
        <v>6.67</v>
      </c>
      <c r="J5" s="461"/>
    </row>
    <row r="6" spans="1:10" x14ac:dyDescent="0.25">
      <c r="A6" s="455" t="s">
        <v>188</v>
      </c>
      <c r="B6" s="456"/>
      <c r="C6" s="35">
        <v>1</v>
      </c>
      <c r="D6" s="459">
        <v>80</v>
      </c>
      <c r="E6" s="459"/>
      <c r="F6" s="460">
        <f t="shared" si="0"/>
        <v>80</v>
      </c>
      <c r="G6" s="460"/>
      <c r="H6" s="158"/>
      <c r="I6" s="460">
        <f t="shared" si="1"/>
        <v>6.67</v>
      </c>
      <c r="J6" s="461"/>
    </row>
    <row r="7" spans="1:10" x14ac:dyDescent="0.25">
      <c r="A7" s="455" t="s">
        <v>184</v>
      </c>
      <c r="B7" s="456"/>
      <c r="C7" s="35">
        <v>1</v>
      </c>
      <c r="D7" s="459">
        <v>35</v>
      </c>
      <c r="E7" s="459"/>
      <c r="F7" s="460">
        <f t="shared" si="0"/>
        <v>35</v>
      </c>
      <c r="G7" s="460"/>
      <c r="H7" s="158"/>
      <c r="I7" s="460">
        <f t="shared" si="1"/>
        <v>2.92</v>
      </c>
      <c r="J7" s="461"/>
    </row>
    <row r="8" spans="1:10" ht="18" customHeight="1" x14ac:dyDescent="0.25">
      <c r="A8" s="455" t="s">
        <v>185</v>
      </c>
      <c r="B8" s="456"/>
      <c r="C8" s="35">
        <v>2</v>
      </c>
      <c r="D8" s="459">
        <v>12</v>
      </c>
      <c r="E8" s="459"/>
      <c r="F8" s="460">
        <f>D8*C8</f>
        <v>24</v>
      </c>
      <c r="G8" s="460"/>
      <c r="H8" s="158"/>
      <c r="I8" s="460">
        <f t="shared" si="1"/>
        <v>2</v>
      </c>
      <c r="J8" s="461"/>
    </row>
    <row r="9" spans="1:10" ht="18" customHeight="1" x14ac:dyDescent="0.25">
      <c r="A9" s="455" t="s">
        <v>237</v>
      </c>
      <c r="B9" s="456"/>
      <c r="C9" s="35">
        <v>1</v>
      </c>
      <c r="D9" s="459">
        <v>135</v>
      </c>
      <c r="E9" s="459"/>
      <c r="F9" s="460">
        <f t="shared" ref="F9" si="2">D9*C9</f>
        <v>135</v>
      </c>
      <c r="G9" s="460"/>
      <c r="H9" s="158"/>
      <c r="I9" s="460">
        <f t="shared" si="1"/>
        <v>11.25</v>
      </c>
      <c r="J9" s="461"/>
    </row>
    <row r="10" spans="1:10" x14ac:dyDescent="0.25">
      <c r="A10" s="455" t="s">
        <v>238</v>
      </c>
      <c r="B10" s="456"/>
      <c r="C10" s="35">
        <v>1</v>
      </c>
      <c r="D10" s="459">
        <v>50</v>
      </c>
      <c r="E10" s="459"/>
      <c r="F10" s="460">
        <f t="shared" si="0"/>
        <v>50</v>
      </c>
      <c r="G10" s="460"/>
      <c r="H10" s="158"/>
      <c r="I10" s="460">
        <f t="shared" si="1"/>
        <v>4.17</v>
      </c>
      <c r="J10" s="461"/>
    </row>
    <row r="11" spans="1:10" x14ac:dyDescent="0.25">
      <c r="A11" s="455" t="s">
        <v>186</v>
      </c>
      <c r="B11" s="456"/>
      <c r="C11" s="35">
        <v>1</v>
      </c>
      <c r="D11" s="459">
        <v>20</v>
      </c>
      <c r="E11" s="459"/>
      <c r="F11" s="460">
        <f t="shared" si="0"/>
        <v>20</v>
      </c>
      <c r="G11" s="460"/>
      <c r="H11" s="158"/>
      <c r="I11" s="460">
        <f t="shared" si="1"/>
        <v>1.67</v>
      </c>
      <c r="J11" s="461"/>
    </row>
    <row r="12" spans="1:10" ht="20.25" customHeight="1" x14ac:dyDescent="0.25">
      <c r="A12" s="455" t="s">
        <v>187</v>
      </c>
      <c r="B12" s="456"/>
      <c r="C12" s="35">
        <v>1</v>
      </c>
      <c r="D12" s="459">
        <v>35</v>
      </c>
      <c r="E12" s="459"/>
      <c r="F12" s="460">
        <f t="shared" si="0"/>
        <v>35</v>
      </c>
      <c r="G12" s="460"/>
      <c r="H12" s="158"/>
      <c r="I12" s="460">
        <f t="shared" si="1"/>
        <v>2.92</v>
      </c>
      <c r="J12" s="461"/>
    </row>
    <row r="13" spans="1:10" x14ac:dyDescent="0.25">
      <c r="A13" s="464" t="s">
        <v>25</v>
      </c>
      <c r="B13" s="465"/>
      <c r="C13" s="465"/>
      <c r="D13" s="465"/>
      <c r="E13" s="465"/>
      <c r="F13" s="465"/>
      <c r="G13" s="465"/>
      <c r="H13" s="155"/>
      <c r="I13" s="462">
        <f>SUM(I3:J12)</f>
        <v>68.239999999999995</v>
      </c>
      <c r="J13" s="463"/>
    </row>
    <row r="14" spans="1:10" x14ac:dyDescent="0.25">
      <c r="A14" s="174"/>
      <c r="B14" s="172"/>
      <c r="C14" s="172"/>
      <c r="D14" s="172"/>
      <c r="E14" s="172"/>
      <c r="F14" s="172"/>
      <c r="G14" s="172"/>
      <c r="H14" s="172"/>
      <c r="I14" s="158"/>
      <c r="J14" s="175"/>
    </row>
    <row r="15" spans="1:10" ht="16.5" thickBot="1" x14ac:dyDescent="0.3">
      <c r="A15" s="194"/>
      <c r="B15" s="195"/>
      <c r="C15" s="195"/>
      <c r="D15" s="195"/>
      <c r="E15" s="195"/>
      <c r="F15" s="195"/>
      <c r="G15" s="195"/>
      <c r="H15" s="195"/>
      <c r="I15" s="177"/>
      <c r="J15" s="196"/>
    </row>
    <row r="16" spans="1:10" ht="21.75" thickBot="1" x14ac:dyDescent="0.3">
      <c r="A16" s="450" t="s">
        <v>300</v>
      </c>
      <c r="B16" s="451"/>
      <c r="C16" s="451"/>
      <c r="D16" s="451"/>
      <c r="E16" s="451"/>
      <c r="F16" s="451"/>
      <c r="G16" s="451"/>
      <c r="H16" s="451"/>
      <c r="I16" s="451"/>
      <c r="J16" s="452"/>
    </row>
    <row r="17" spans="1:14" ht="45.75" customHeight="1" x14ac:dyDescent="0.25">
      <c r="A17" s="453" t="s">
        <v>128</v>
      </c>
      <c r="B17" s="454"/>
      <c r="C17" s="190" t="s">
        <v>129</v>
      </c>
      <c r="D17" s="454" t="s">
        <v>130</v>
      </c>
      <c r="E17" s="454"/>
      <c r="F17" s="457" t="s">
        <v>292</v>
      </c>
      <c r="G17" s="457"/>
      <c r="H17" s="229" t="s">
        <v>328</v>
      </c>
      <c r="I17" s="192" t="s">
        <v>200</v>
      </c>
      <c r="J17" s="193" t="s">
        <v>131</v>
      </c>
    </row>
    <row r="18" spans="1:14" ht="66.75" customHeight="1" x14ac:dyDescent="0.25">
      <c r="A18" s="455" t="s">
        <v>189</v>
      </c>
      <c r="B18" s="456"/>
      <c r="C18" s="145" t="s">
        <v>368</v>
      </c>
      <c r="D18" s="459">
        <v>20</v>
      </c>
      <c r="E18" s="459"/>
      <c r="F18" s="460">
        <v>20</v>
      </c>
      <c r="G18" s="460"/>
      <c r="H18" s="243">
        <v>4</v>
      </c>
      <c r="I18" s="246">
        <v>6</v>
      </c>
      <c r="J18" s="166">
        <f>D18/I18/H18</f>
        <v>0.83</v>
      </c>
    </row>
    <row r="19" spans="1:14" ht="15.75" customHeight="1" x14ac:dyDescent="0.25">
      <c r="A19" s="455" t="s">
        <v>192</v>
      </c>
      <c r="B19" s="456"/>
      <c r="C19" s="35">
        <v>1</v>
      </c>
      <c r="D19" s="459">
        <v>15</v>
      </c>
      <c r="E19" s="459"/>
      <c r="F19" s="460">
        <f t="shared" ref="F19:F20" si="3">D19*C19</f>
        <v>15</v>
      </c>
      <c r="G19" s="460"/>
      <c r="H19" s="243"/>
      <c r="I19" s="246">
        <v>30</v>
      </c>
      <c r="J19" s="166">
        <f>F19/I19</f>
        <v>0.5</v>
      </c>
    </row>
    <row r="20" spans="1:14" ht="15.75" customHeight="1" x14ac:dyDescent="0.25">
      <c r="A20" s="455" t="s">
        <v>193</v>
      </c>
      <c r="B20" s="456"/>
      <c r="C20" s="35">
        <v>1</v>
      </c>
      <c r="D20" s="466">
        <v>10</v>
      </c>
      <c r="E20" s="466"/>
      <c r="F20" s="460">
        <f t="shared" si="3"/>
        <v>10</v>
      </c>
      <c r="G20" s="460"/>
      <c r="H20" s="243"/>
      <c r="I20" s="246">
        <v>30</v>
      </c>
      <c r="J20" s="166">
        <f>F20/I20</f>
        <v>0.33</v>
      </c>
    </row>
    <row r="21" spans="1:14" ht="68.25" customHeight="1" x14ac:dyDescent="0.25">
      <c r="A21" s="455" t="s">
        <v>199</v>
      </c>
      <c r="B21" s="456"/>
      <c r="C21" s="145" t="s">
        <v>368</v>
      </c>
      <c r="D21" s="459">
        <v>57.9</v>
      </c>
      <c r="E21" s="459"/>
      <c r="F21" s="460">
        <v>57.9</v>
      </c>
      <c r="G21" s="460"/>
      <c r="H21" s="243">
        <v>4</v>
      </c>
      <c r="I21" s="246">
        <v>36</v>
      </c>
      <c r="J21" s="166">
        <f>D21/I21/H21</f>
        <v>0.4</v>
      </c>
    </row>
    <row r="22" spans="1:14" x14ac:dyDescent="0.25">
      <c r="A22" s="464" t="s">
        <v>25</v>
      </c>
      <c r="B22" s="465"/>
      <c r="C22" s="465"/>
      <c r="D22" s="465"/>
      <c r="E22" s="465"/>
      <c r="F22" s="465"/>
      <c r="G22" s="465"/>
      <c r="H22" s="155"/>
      <c r="I22" s="462">
        <f>SUM(J18:J21)</f>
        <v>2.06</v>
      </c>
      <c r="J22" s="463"/>
    </row>
    <row r="23" spans="1:14" ht="16.5" thickBot="1" x14ac:dyDescent="0.3">
      <c r="A23" s="186"/>
      <c r="B23" s="187"/>
      <c r="C23" s="187"/>
      <c r="D23" s="188"/>
      <c r="E23" s="178"/>
      <c r="F23" s="178"/>
      <c r="G23" s="178"/>
      <c r="H23" s="178"/>
      <c r="I23" s="178"/>
      <c r="J23" s="189"/>
    </row>
    <row r="24" spans="1:14" ht="21.75" thickBot="1" x14ac:dyDescent="0.3">
      <c r="A24" s="450" t="s">
        <v>297</v>
      </c>
      <c r="B24" s="451"/>
      <c r="C24" s="451"/>
      <c r="D24" s="451"/>
      <c r="E24" s="451"/>
      <c r="F24" s="451"/>
      <c r="G24" s="451"/>
      <c r="H24" s="451"/>
      <c r="I24" s="451"/>
      <c r="J24" s="452"/>
    </row>
    <row r="25" spans="1:14" ht="49.5" customHeight="1" x14ac:dyDescent="0.25">
      <c r="A25" s="453" t="s">
        <v>128</v>
      </c>
      <c r="B25" s="454"/>
      <c r="C25" s="190" t="s">
        <v>129</v>
      </c>
      <c r="D25" s="454" t="s">
        <v>130</v>
      </c>
      <c r="E25" s="454"/>
      <c r="F25" s="467" t="s">
        <v>293</v>
      </c>
      <c r="G25" s="467"/>
      <c r="H25" s="192" t="s">
        <v>328</v>
      </c>
      <c r="I25" s="192" t="s">
        <v>200</v>
      </c>
      <c r="J25" s="193" t="s">
        <v>131</v>
      </c>
    </row>
    <row r="26" spans="1:14" ht="67.5" customHeight="1" x14ac:dyDescent="0.25">
      <c r="A26" s="455" t="s">
        <v>190</v>
      </c>
      <c r="B26" s="456"/>
      <c r="C26" s="145" t="s">
        <v>367</v>
      </c>
      <c r="D26" s="459">
        <v>45</v>
      </c>
      <c r="E26" s="459"/>
      <c r="F26" s="460">
        <v>45</v>
      </c>
      <c r="G26" s="460"/>
      <c r="H26" s="243">
        <v>4</v>
      </c>
      <c r="I26" s="246">
        <v>30</v>
      </c>
      <c r="J26" s="166">
        <f>D26/I26/H26</f>
        <v>0.38</v>
      </c>
    </row>
    <row r="27" spans="1:14" ht="15.75" customHeight="1" x14ac:dyDescent="0.25">
      <c r="A27" s="455" t="s">
        <v>191</v>
      </c>
      <c r="B27" s="456"/>
      <c r="C27" s="35">
        <v>1</v>
      </c>
      <c r="D27" s="459">
        <v>40</v>
      </c>
      <c r="E27" s="459"/>
      <c r="F27" s="460">
        <f t="shared" ref="F27:F35" si="4">D27*C27</f>
        <v>40</v>
      </c>
      <c r="G27" s="460"/>
      <c r="H27" s="243"/>
      <c r="I27" s="246">
        <v>30</v>
      </c>
      <c r="J27" s="166">
        <f>F27/I27</f>
        <v>1.33</v>
      </c>
    </row>
    <row r="28" spans="1:14" ht="282" customHeight="1" x14ac:dyDescent="0.25">
      <c r="A28" s="455" t="s">
        <v>299</v>
      </c>
      <c r="B28" s="456"/>
      <c r="C28" s="35">
        <v>1</v>
      </c>
      <c r="D28" s="466">
        <v>2770</v>
      </c>
      <c r="E28" s="466"/>
      <c r="F28" s="460">
        <f t="shared" si="4"/>
        <v>2770</v>
      </c>
      <c r="G28" s="460"/>
      <c r="H28" s="243"/>
      <c r="I28" s="246">
        <v>60</v>
      </c>
      <c r="J28" s="166">
        <f>F28/I28</f>
        <v>46.17</v>
      </c>
    </row>
    <row r="29" spans="1:14" ht="75" customHeight="1" x14ac:dyDescent="0.25">
      <c r="A29" s="471" t="s">
        <v>288</v>
      </c>
      <c r="B29" s="472"/>
      <c r="C29" s="145" t="s">
        <v>327</v>
      </c>
      <c r="D29" s="466">
        <v>5399</v>
      </c>
      <c r="E29" s="466"/>
      <c r="F29" s="460">
        <f>D29*1</f>
        <v>5399</v>
      </c>
      <c r="G29" s="460"/>
      <c r="H29" s="244">
        <v>4</v>
      </c>
      <c r="I29" s="246">
        <v>120</v>
      </c>
      <c r="J29" s="166">
        <f>F29/I29/H29</f>
        <v>11.25</v>
      </c>
    </row>
    <row r="30" spans="1:14" ht="15.75" customHeight="1" x14ac:dyDescent="0.25">
      <c r="A30" s="455" t="s">
        <v>194</v>
      </c>
      <c r="B30" s="456"/>
      <c r="C30" s="35">
        <v>1</v>
      </c>
      <c r="D30" s="466">
        <v>75</v>
      </c>
      <c r="E30" s="466"/>
      <c r="F30" s="460">
        <f t="shared" si="4"/>
        <v>75</v>
      </c>
      <c r="G30" s="460"/>
      <c r="H30" s="243"/>
      <c r="I30" s="246">
        <v>30</v>
      </c>
      <c r="J30" s="166">
        <f>F30/I30</f>
        <v>2.5</v>
      </c>
      <c r="N30" s="144"/>
    </row>
    <row r="31" spans="1:14" x14ac:dyDescent="0.25">
      <c r="A31" s="455" t="s">
        <v>195</v>
      </c>
      <c r="B31" s="456"/>
      <c r="C31" s="35">
        <v>1</v>
      </c>
      <c r="D31" s="466">
        <v>135</v>
      </c>
      <c r="E31" s="466"/>
      <c r="F31" s="460">
        <f t="shared" si="4"/>
        <v>135</v>
      </c>
      <c r="G31" s="460"/>
      <c r="H31" s="243"/>
      <c r="I31" s="246">
        <v>30</v>
      </c>
      <c r="J31" s="166">
        <f>F31/I31</f>
        <v>4.5</v>
      </c>
    </row>
    <row r="32" spans="1:14" ht="15.75" customHeight="1" x14ac:dyDescent="0.25">
      <c r="A32" s="455" t="s">
        <v>196</v>
      </c>
      <c r="B32" s="456"/>
      <c r="C32" s="35">
        <v>12</v>
      </c>
      <c r="D32" s="466">
        <v>12</v>
      </c>
      <c r="E32" s="466"/>
      <c r="F32" s="460">
        <f t="shared" si="4"/>
        <v>144</v>
      </c>
      <c r="G32" s="460"/>
      <c r="H32" s="244">
        <v>4</v>
      </c>
      <c r="I32" s="246">
        <v>12</v>
      </c>
      <c r="J32" s="166">
        <f>F32/I32/H32</f>
        <v>3</v>
      </c>
    </row>
    <row r="33" spans="1:16" ht="60.75" customHeight="1" x14ac:dyDescent="0.25">
      <c r="A33" s="455" t="s">
        <v>197</v>
      </c>
      <c r="B33" s="456"/>
      <c r="C33" s="145" t="s">
        <v>372</v>
      </c>
      <c r="D33" s="466">
        <v>110</v>
      </c>
      <c r="E33" s="466"/>
      <c r="F33" s="460">
        <v>110</v>
      </c>
      <c r="G33" s="460"/>
      <c r="H33" s="243">
        <v>4</v>
      </c>
      <c r="I33" s="246">
        <v>12</v>
      </c>
      <c r="J33" s="166">
        <f>D33/I33/H33</f>
        <v>2.29</v>
      </c>
    </row>
    <row r="34" spans="1:16" ht="107.25" customHeight="1" x14ac:dyDescent="0.25">
      <c r="A34" s="471" t="s">
        <v>295</v>
      </c>
      <c r="B34" s="472"/>
      <c r="C34" s="145" t="s">
        <v>355</v>
      </c>
      <c r="D34" s="466">
        <v>1300</v>
      </c>
      <c r="E34" s="466"/>
      <c r="F34" s="460">
        <v>1300</v>
      </c>
      <c r="G34" s="460"/>
      <c r="H34" s="244">
        <v>4</v>
      </c>
      <c r="I34" s="246">
        <v>60</v>
      </c>
      <c r="J34" s="166">
        <f>F34/I34/H34</f>
        <v>5.42</v>
      </c>
    </row>
    <row r="35" spans="1:16" ht="15.75" customHeight="1" x14ac:dyDescent="0.25">
      <c r="A35" s="471" t="s">
        <v>198</v>
      </c>
      <c r="B35" s="472"/>
      <c r="C35" s="35">
        <v>1</v>
      </c>
      <c r="D35" s="466">
        <v>129</v>
      </c>
      <c r="E35" s="466"/>
      <c r="F35" s="460">
        <f t="shared" si="4"/>
        <v>129</v>
      </c>
      <c r="G35" s="460"/>
      <c r="H35" s="243"/>
      <c r="I35" s="246">
        <v>60</v>
      </c>
      <c r="J35" s="166">
        <f>F35/I35</f>
        <v>2.15</v>
      </c>
    </row>
    <row r="36" spans="1:16" x14ac:dyDescent="0.25">
      <c r="A36" s="473" t="s">
        <v>25</v>
      </c>
      <c r="B36" s="474"/>
      <c r="C36" s="474"/>
      <c r="D36" s="474"/>
      <c r="E36" s="474"/>
      <c r="F36" s="474"/>
      <c r="G36" s="474"/>
      <c r="H36" s="185"/>
      <c r="I36" s="475">
        <f>SUM(J26:J35)</f>
        <v>78.989999999999995</v>
      </c>
      <c r="J36" s="476"/>
    </row>
    <row r="37" spans="1:16" ht="48.75" customHeight="1" thickBot="1" x14ac:dyDescent="0.3">
      <c r="A37" s="468" t="s">
        <v>374</v>
      </c>
      <c r="B37" s="469"/>
      <c r="C37" s="469"/>
      <c r="D37" s="469"/>
      <c r="E37" s="469"/>
      <c r="F37" s="469"/>
      <c r="G37" s="469"/>
      <c r="H37" s="469"/>
      <c r="I37" s="469"/>
      <c r="J37" s="470"/>
    </row>
    <row r="38" spans="1:16" ht="48" thickBot="1" x14ac:dyDescent="0.3">
      <c r="A38" s="477" t="s">
        <v>128</v>
      </c>
      <c r="B38" s="478"/>
      <c r="C38" s="231" t="s">
        <v>382</v>
      </c>
      <c r="D38" s="478" t="s">
        <v>130</v>
      </c>
      <c r="E38" s="478"/>
      <c r="F38" s="479" t="s">
        <v>292</v>
      </c>
      <c r="G38" s="480"/>
      <c r="H38" s="249" t="s">
        <v>328</v>
      </c>
      <c r="I38" s="248" t="s">
        <v>335</v>
      </c>
      <c r="J38" s="184" t="s">
        <v>334</v>
      </c>
    </row>
    <row r="39" spans="1:16" ht="70.5" customHeight="1" x14ac:dyDescent="0.25">
      <c r="A39" s="481" t="s">
        <v>290</v>
      </c>
      <c r="B39" s="482"/>
      <c r="C39" s="181">
        <v>1</v>
      </c>
      <c r="D39" s="483">
        <v>18686</v>
      </c>
      <c r="E39" s="483"/>
      <c r="F39" s="484">
        <f>D39</f>
        <v>18686</v>
      </c>
      <c r="G39" s="484"/>
      <c r="H39" s="242">
        <v>2</v>
      </c>
      <c r="I39" s="182">
        <f>F39/10</f>
        <v>1868.6</v>
      </c>
      <c r="J39" s="183">
        <f>I39/12/H39</f>
        <v>77.86</v>
      </c>
    </row>
    <row r="40" spans="1:16" x14ac:dyDescent="0.25">
      <c r="A40" s="455" t="s">
        <v>291</v>
      </c>
      <c r="B40" s="456"/>
      <c r="C40" s="35">
        <v>1</v>
      </c>
      <c r="D40" s="459">
        <v>289</v>
      </c>
      <c r="E40" s="459"/>
      <c r="F40" s="460">
        <f>D40*C40</f>
        <v>289</v>
      </c>
      <c r="G40" s="460"/>
      <c r="H40" s="243">
        <v>2</v>
      </c>
      <c r="I40" s="246">
        <v>36</v>
      </c>
      <c r="J40" s="166">
        <f>F40/I40/H40</f>
        <v>4.01</v>
      </c>
    </row>
    <row r="41" spans="1:16" ht="16.5" thickBot="1" x14ac:dyDescent="0.3">
      <c r="A41" s="464" t="s">
        <v>25</v>
      </c>
      <c r="B41" s="465"/>
      <c r="C41" s="465"/>
      <c r="D41" s="465"/>
      <c r="E41" s="465"/>
      <c r="F41" s="465"/>
      <c r="G41" s="465"/>
      <c r="H41" s="155"/>
      <c r="I41" s="462">
        <f>SUM(J39:J40)</f>
        <v>81.87</v>
      </c>
      <c r="J41" s="463"/>
      <c r="P41" s="144"/>
    </row>
    <row r="42" spans="1:16" ht="48" thickBot="1" x14ac:dyDescent="0.3">
      <c r="A42" s="477" t="s">
        <v>128</v>
      </c>
      <c r="B42" s="478"/>
      <c r="C42" s="231" t="s">
        <v>385</v>
      </c>
      <c r="D42" s="478" t="s">
        <v>130</v>
      </c>
      <c r="E42" s="478"/>
      <c r="F42" s="479" t="s">
        <v>292</v>
      </c>
      <c r="G42" s="480"/>
      <c r="H42" s="249" t="s">
        <v>328</v>
      </c>
      <c r="I42" s="230" t="s">
        <v>384</v>
      </c>
      <c r="J42" s="230" t="s">
        <v>384</v>
      </c>
      <c r="P42" s="144"/>
    </row>
    <row r="43" spans="1:16" ht="52.5" customHeight="1" thickBot="1" x14ac:dyDescent="0.3">
      <c r="A43" s="455" t="s">
        <v>383</v>
      </c>
      <c r="B43" s="456"/>
      <c r="C43" s="188">
        <v>11</v>
      </c>
      <c r="D43" s="485">
        <v>6.89</v>
      </c>
      <c r="E43" s="486"/>
      <c r="F43" s="487">
        <f>C43*D43</f>
        <v>75.790000000000006</v>
      </c>
      <c r="G43" s="488"/>
      <c r="H43" s="251">
        <v>2</v>
      </c>
      <c r="I43" s="252"/>
      <c r="J43" s="253">
        <f>F43/H43</f>
        <v>37.9</v>
      </c>
    </row>
    <row r="44" spans="1:16" ht="21.75" thickBot="1" x14ac:dyDescent="0.3">
      <c r="A44" s="450" t="s">
        <v>302</v>
      </c>
      <c r="B44" s="451"/>
      <c r="C44" s="451"/>
      <c r="D44" s="451"/>
      <c r="E44" s="451"/>
      <c r="F44" s="451"/>
      <c r="G44" s="451"/>
      <c r="H44" s="451"/>
      <c r="I44" s="451"/>
      <c r="J44" s="452"/>
    </row>
    <row r="45" spans="1:16" ht="47.25" x14ac:dyDescent="0.25">
      <c r="A45" s="453" t="s">
        <v>128</v>
      </c>
      <c r="B45" s="454"/>
      <c r="C45" s="228" t="s">
        <v>129</v>
      </c>
      <c r="D45" s="454" t="s">
        <v>130</v>
      </c>
      <c r="E45" s="454"/>
      <c r="F45" s="467" t="s">
        <v>293</v>
      </c>
      <c r="G45" s="467"/>
      <c r="H45" s="229" t="s">
        <v>328</v>
      </c>
      <c r="I45" s="192" t="s">
        <v>200</v>
      </c>
      <c r="J45" s="193" t="s">
        <v>131</v>
      </c>
    </row>
    <row r="46" spans="1:16" ht="61.5" customHeight="1" x14ac:dyDescent="0.25">
      <c r="A46" s="455" t="s">
        <v>190</v>
      </c>
      <c r="B46" s="456"/>
      <c r="C46" s="145" t="s">
        <v>369</v>
      </c>
      <c r="D46" s="459">
        <v>45</v>
      </c>
      <c r="E46" s="459"/>
      <c r="F46" s="460">
        <v>45</v>
      </c>
      <c r="G46" s="460"/>
      <c r="H46" s="243">
        <v>2</v>
      </c>
      <c r="I46" s="246">
        <v>30</v>
      </c>
      <c r="J46" s="166">
        <f>D46/I46/H46</f>
        <v>0.75</v>
      </c>
    </row>
    <row r="47" spans="1:16" ht="21" customHeight="1" x14ac:dyDescent="0.25">
      <c r="A47" s="455" t="s">
        <v>191</v>
      </c>
      <c r="B47" s="456"/>
      <c r="C47" s="35">
        <v>1</v>
      </c>
      <c r="D47" s="459">
        <v>40</v>
      </c>
      <c r="E47" s="459"/>
      <c r="F47" s="460">
        <f t="shared" ref="F47:F52" si="5">D47*C47</f>
        <v>40</v>
      </c>
      <c r="G47" s="460"/>
      <c r="H47" s="243"/>
      <c r="I47" s="246">
        <v>30</v>
      </c>
      <c r="J47" s="166">
        <f t="shared" ref="J47:J52" si="6">F47/I47</f>
        <v>1.33</v>
      </c>
    </row>
    <row r="48" spans="1:16" ht="306.75" customHeight="1" x14ac:dyDescent="0.25">
      <c r="A48" s="455" t="s">
        <v>294</v>
      </c>
      <c r="B48" s="456"/>
      <c r="C48" s="35">
        <v>1</v>
      </c>
      <c r="D48" s="466">
        <v>2770</v>
      </c>
      <c r="E48" s="466"/>
      <c r="F48" s="460">
        <f t="shared" si="5"/>
        <v>2770</v>
      </c>
      <c r="G48" s="460"/>
      <c r="H48" s="243"/>
      <c r="I48" s="246">
        <v>60</v>
      </c>
      <c r="J48" s="166">
        <f t="shared" si="6"/>
        <v>46.17</v>
      </c>
    </row>
    <row r="49" spans="1:10" ht="27" customHeight="1" x14ac:dyDescent="0.25">
      <c r="A49" s="455" t="s">
        <v>303</v>
      </c>
      <c r="B49" s="456"/>
      <c r="C49" s="35">
        <v>1</v>
      </c>
      <c r="D49" s="466">
        <v>75</v>
      </c>
      <c r="E49" s="466"/>
      <c r="F49" s="460">
        <f t="shared" si="5"/>
        <v>75</v>
      </c>
      <c r="G49" s="460"/>
      <c r="H49" s="243"/>
      <c r="I49" s="246">
        <v>30</v>
      </c>
      <c r="J49" s="166">
        <f t="shared" si="6"/>
        <v>2.5</v>
      </c>
    </row>
    <row r="50" spans="1:10" ht="56.25" customHeight="1" x14ac:dyDescent="0.25">
      <c r="A50" s="455" t="s">
        <v>197</v>
      </c>
      <c r="B50" s="456"/>
      <c r="C50" s="145" t="s">
        <v>370</v>
      </c>
      <c r="D50" s="466">
        <v>110</v>
      </c>
      <c r="E50" s="466"/>
      <c r="F50" s="460">
        <v>110</v>
      </c>
      <c r="G50" s="460"/>
      <c r="H50" s="243">
        <v>2</v>
      </c>
      <c r="I50" s="246">
        <v>12</v>
      </c>
      <c r="J50" s="166">
        <f>D50/I50/H50</f>
        <v>4.58</v>
      </c>
    </row>
    <row r="51" spans="1:10" ht="91.5" customHeight="1" x14ac:dyDescent="0.25">
      <c r="A51" s="471" t="s">
        <v>295</v>
      </c>
      <c r="B51" s="472"/>
      <c r="C51" s="145" t="s">
        <v>371</v>
      </c>
      <c r="D51" s="466">
        <v>1300</v>
      </c>
      <c r="E51" s="466"/>
      <c r="F51" s="460">
        <v>1300</v>
      </c>
      <c r="G51" s="460"/>
      <c r="H51" s="243">
        <v>2</v>
      </c>
      <c r="I51" s="246">
        <v>60</v>
      </c>
      <c r="J51" s="166">
        <f>D51/I51/H51</f>
        <v>10.83</v>
      </c>
    </row>
    <row r="52" spans="1:10" ht="44.25" customHeight="1" thickBot="1" x14ac:dyDescent="0.3">
      <c r="A52" s="491" t="s">
        <v>198</v>
      </c>
      <c r="B52" s="492"/>
      <c r="C52" s="176">
        <v>1</v>
      </c>
      <c r="D52" s="493">
        <v>129</v>
      </c>
      <c r="E52" s="493"/>
      <c r="F52" s="494">
        <f t="shared" si="5"/>
        <v>129</v>
      </c>
      <c r="G52" s="494"/>
      <c r="H52" s="245"/>
      <c r="I52" s="247">
        <v>60</v>
      </c>
      <c r="J52" s="179">
        <f t="shared" si="6"/>
        <v>2.15</v>
      </c>
    </row>
    <row r="53" spans="1:10" ht="16.5" thickBot="1" x14ac:dyDescent="0.3">
      <c r="A53" s="477" t="s">
        <v>25</v>
      </c>
      <c r="B53" s="478"/>
      <c r="C53" s="478"/>
      <c r="D53" s="478"/>
      <c r="E53" s="478"/>
      <c r="F53" s="478"/>
      <c r="G53" s="478"/>
      <c r="H53" s="180"/>
      <c r="I53" s="489">
        <f>SUM(J46:J52)</f>
        <v>68.31</v>
      </c>
      <c r="J53" s="490"/>
    </row>
  </sheetData>
  <mergeCells count="146">
    <mergeCell ref="A53:G53"/>
    <mergeCell ref="I53:J53"/>
    <mergeCell ref="A50:B50"/>
    <mergeCell ref="D50:E50"/>
    <mergeCell ref="F50:G50"/>
    <mergeCell ref="A51:B51"/>
    <mergeCell ref="D51:E51"/>
    <mergeCell ref="F51:G51"/>
    <mergeCell ref="A52:B52"/>
    <mergeCell ref="D52:E52"/>
    <mergeCell ref="F52:G52"/>
    <mergeCell ref="A47:B47"/>
    <mergeCell ref="D47:E47"/>
    <mergeCell ref="F47:G47"/>
    <mergeCell ref="A48:B48"/>
    <mergeCell ref="D48:E48"/>
    <mergeCell ref="F48:G48"/>
    <mergeCell ref="A49:B49"/>
    <mergeCell ref="D49:E49"/>
    <mergeCell ref="F49:G49"/>
    <mergeCell ref="A41:G41"/>
    <mergeCell ref="I41:J41"/>
    <mergeCell ref="A44:J44"/>
    <mergeCell ref="A45:B45"/>
    <mergeCell ref="D45:E45"/>
    <mergeCell ref="F45:G45"/>
    <mergeCell ref="A46:B46"/>
    <mergeCell ref="D46:E46"/>
    <mergeCell ref="F46:G46"/>
    <mergeCell ref="A42:B42"/>
    <mergeCell ref="D42:E42"/>
    <mergeCell ref="F42:G42"/>
    <mergeCell ref="A43:B43"/>
    <mergeCell ref="D43:E43"/>
    <mergeCell ref="F43:G43"/>
    <mergeCell ref="A38:B38"/>
    <mergeCell ref="D38:E38"/>
    <mergeCell ref="F38:G38"/>
    <mergeCell ref="A39:B39"/>
    <mergeCell ref="D39:E39"/>
    <mergeCell ref="F39:G39"/>
    <mergeCell ref="A40:B40"/>
    <mergeCell ref="D40:E40"/>
    <mergeCell ref="F40:G40"/>
    <mergeCell ref="A37:J37"/>
    <mergeCell ref="A31:B31"/>
    <mergeCell ref="D31:E31"/>
    <mergeCell ref="F31:G31"/>
    <mergeCell ref="A32:B32"/>
    <mergeCell ref="D32:E32"/>
    <mergeCell ref="F32:G32"/>
    <mergeCell ref="A29:B29"/>
    <mergeCell ref="D29:E29"/>
    <mergeCell ref="F29:G29"/>
    <mergeCell ref="A30:B30"/>
    <mergeCell ref="D30:E30"/>
    <mergeCell ref="F30:G30"/>
    <mergeCell ref="A36:G36"/>
    <mergeCell ref="I36:J36"/>
    <mergeCell ref="A35:B35"/>
    <mergeCell ref="D35:E35"/>
    <mergeCell ref="F35:G35"/>
    <mergeCell ref="A33:B33"/>
    <mergeCell ref="D33:E33"/>
    <mergeCell ref="F33:G33"/>
    <mergeCell ref="A34:B34"/>
    <mergeCell ref="D34:E34"/>
    <mergeCell ref="F34:G34"/>
    <mergeCell ref="A24:J24"/>
    <mergeCell ref="A25:B25"/>
    <mergeCell ref="D25:E25"/>
    <mergeCell ref="F25:G25"/>
    <mergeCell ref="A28:B28"/>
    <mergeCell ref="D28:E28"/>
    <mergeCell ref="F28:G28"/>
    <mergeCell ref="A27:B27"/>
    <mergeCell ref="D27:E27"/>
    <mergeCell ref="F27:G27"/>
    <mergeCell ref="A26:B26"/>
    <mergeCell ref="D26:E26"/>
    <mergeCell ref="F26:G26"/>
    <mergeCell ref="A19:B19"/>
    <mergeCell ref="D19:E19"/>
    <mergeCell ref="F19:G19"/>
    <mergeCell ref="I22:J22"/>
    <mergeCell ref="A20:B20"/>
    <mergeCell ref="D20:E20"/>
    <mergeCell ref="A21:B21"/>
    <mergeCell ref="D21:E21"/>
    <mergeCell ref="F20:G20"/>
    <mergeCell ref="F21:G21"/>
    <mergeCell ref="A22:G22"/>
    <mergeCell ref="A18:B18"/>
    <mergeCell ref="D18:E18"/>
    <mergeCell ref="F18:G18"/>
    <mergeCell ref="D17:E17"/>
    <mergeCell ref="F17:G17"/>
    <mergeCell ref="I13:J13"/>
    <mergeCell ref="A13:G13"/>
    <mergeCell ref="A16:J16"/>
    <mergeCell ref="A17:B17"/>
    <mergeCell ref="A12:B12"/>
    <mergeCell ref="I12:J12"/>
    <mergeCell ref="D12:E12"/>
    <mergeCell ref="F12:G12"/>
    <mergeCell ref="A11:B11"/>
    <mergeCell ref="D11:E11"/>
    <mergeCell ref="F11:G11"/>
    <mergeCell ref="I11:J11"/>
    <mergeCell ref="A7:B7"/>
    <mergeCell ref="D7:E7"/>
    <mergeCell ref="F7:G7"/>
    <mergeCell ref="I7:J7"/>
    <mergeCell ref="A8:B8"/>
    <mergeCell ref="D8:E8"/>
    <mergeCell ref="F8:G8"/>
    <mergeCell ref="I8:J8"/>
    <mergeCell ref="A10:B10"/>
    <mergeCell ref="D10:E10"/>
    <mergeCell ref="F10:G10"/>
    <mergeCell ref="I10:J10"/>
    <mergeCell ref="A9:B9"/>
    <mergeCell ref="D9:E9"/>
    <mergeCell ref="F9:G9"/>
    <mergeCell ref="I9:J9"/>
    <mergeCell ref="A1:J1"/>
    <mergeCell ref="A2:B2"/>
    <mergeCell ref="A3:B3"/>
    <mergeCell ref="D2:E2"/>
    <mergeCell ref="I2:J2"/>
    <mergeCell ref="D3:E3"/>
    <mergeCell ref="F2:G2"/>
    <mergeCell ref="A5:B5"/>
    <mergeCell ref="A6:B6"/>
    <mergeCell ref="D4:E4"/>
    <mergeCell ref="I3:J3"/>
    <mergeCell ref="I4:J4"/>
    <mergeCell ref="I5:J5"/>
    <mergeCell ref="I6:J6"/>
    <mergeCell ref="A4:B4"/>
    <mergeCell ref="D5:E5"/>
    <mergeCell ref="D6:E6"/>
    <mergeCell ref="F3:G3"/>
    <mergeCell ref="F4:G4"/>
    <mergeCell ref="F5:G5"/>
    <mergeCell ref="F6:G6"/>
  </mergeCells>
  <printOptions horizontalCentered="1"/>
  <pageMargins left="0.51181102362204722" right="0.51181102362204722" top="1.1811023622047245" bottom="1.5748031496062993" header="0.31496062992125984" footer="0.31496062992125984"/>
  <pageSetup paperSize="9" scale="48"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O37"/>
  <sheetViews>
    <sheetView showGridLines="0" view="pageBreakPreview" topLeftCell="A49" zoomScale="90" zoomScaleNormal="85" zoomScaleSheetLayoutView="90" zoomScalePageLayoutView="80" workbookViewId="0">
      <selection activeCell="A36" sqref="A36:J36"/>
    </sheetView>
  </sheetViews>
  <sheetFormatPr defaultColWidth="9.140625" defaultRowHeight="15.75" x14ac:dyDescent="0.25"/>
  <cols>
    <col min="1" max="1" width="8.28515625" style="29" customWidth="1"/>
    <col min="2" max="2" width="39.7109375" style="30" customWidth="1"/>
    <col min="3" max="3" width="39" style="30" customWidth="1"/>
    <col min="4" max="4" width="12.85546875" style="29" customWidth="1"/>
    <col min="5" max="5" width="2.85546875" style="31" customWidth="1"/>
    <col min="6" max="6" width="12.7109375" style="31" customWidth="1"/>
    <col min="7" max="7" width="6.7109375" style="31" customWidth="1"/>
    <col min="8" max="8" width="14.42578125" style="31" customWidth="1"/>
    <col min="9" max="9" width="13.28515625" style="31" customWidth="1"/>
    <col min="10" max="10" width="14.28515625" style="32" customWidth="1"/>
    <col min="11" max="14" width="9.140625" style="28"/>
    <col min="15" max="15" width="12.85546875" style="28" customWidth="1"/>
    <col min="16" max="16384" width="9.140625" style="28"/>
  </cols>
  <sheetData>
    <row r="1" spans="1:10" ht="42" customHeight="1" thickBot="1" x14ac:dyDescent="0.3">
      <c r="A1" s="527" t="s">
        <v>306</v>
      </c>
      <c r="B1" s="528"/>
      <c r="C1" s="528"/>
      <c r="D1" s="528"/>
      <c r="E1" s="528"/>
      <c r="F1" s="528"/>
      <c r="G1" s="528"/>
      <c r="H1" s="528"/>
      <c r="I1" s="528"/>
      <c r="J1" s="529"/>
    </row>
    <row r="2" spans="1:10" ht="32.25" customHeight="1" x14ac:dyDescent="0.25">
      <c r="A2" s="464" t="s">
        <v>128</v>
      </c>
      <c r="B2" s="465"/>
      <c r="C2" s="155" t="s">
        <v>129</v>
      </c>
      <c r="D2" s="465" t="s">
        <v>130</v>
      </c>
      <c r="E2" s="465"/>
      <c r="F2" s="523" t="s">
        <v>132</v>
      </c>
      <c r="G2" s="524"/>
      <c r="H2" s="156"/>
      <c r="I2" s="530" t="s">
        <v>131</v>
      </c>
      <c r="J2" s="531"/>
    </row>
    <row r="3" spans="1:10" x14ac:dyDescent="0.25">
      <c r="A3" s="507" t="s">
        <v>249</v>
      </c>
      <c r="B3" s="508"/>
      <c r="C3" s="34">
        <v>2</v>
      </c>
      <c r="D3" s="459">
        <v>114.83</v>
      </c>
      <c r="E3" s="459"/>
      <c r="F3" s="499">
        <f>+D3*C3</f>
        <v>229.66</v>
      </c>
      <c r="G3" s="500"/>
      <c r="H3" s="154"/>
      <c r="I3" s="460">
        <f>+F3/12</f>
        <v>19.14</v>
      </c>
      <c r="J3" s="461"/>
    </row>
    <row r="4" spans="1:10" ht="20.25" customHeight="1" x14ac:dyDescent="0.25">
      <c r="A4" s="507" t="s">
        <v>289</v>
      </c>
      <c r="B4" s="508"/>
      <c r="C4" s="34">
        <v>2</v>
      </c>
      <c r="D4" s="459">
        <v>65</v>
      </c>
      <c r="E4" s="459"/>
      <c r="F4" s="499">
        <f t="shared" ref="F4:F12" si="0">D4*C4</f>
        <v>130</v>
      </c>
      <c r="G4" s="500"/>
      <c r="H4" s="154"/>
      <c r="I4" s="460">
        <f t="shared" ref="I4:I12" si="1">F4/12</f>
        <v>10.83</v>
      </c>
      <c r="J4" s="461"/>
    </row>
    <row r="5" spans="1:10" x14ac:dyDescent="0.25">
      <c r="A5" s="507" t="s">
        <v>183</v>
      </c>
      <c r="B5" s="508"/>
      <c r="C5" s="35">
        <v>1</v>
      </c>
      <c r="D5" s="459">
        <v>80</v>
      </c>
      <c r="E5" s="459"/>
      <c r="F5" s="499">
        <f t="shared" si="0"/>
        <v>80</v>
      </c>
      <c r="G5" s="500"/>
      <c r="H5" s="154"/>
      <c r="I5" s="460">
        <f t="shared" si="1"/>
        <v>6.67</v>
      </c>
      <c r="J5" s="461"/>
    </row>
    <row r="6" spans="1:10" x14ac:dyDescent="0.25">
      <c r="A6" s="507" t="s">
        <v>188</v>
      </c>
      <c r="B6" s="508"/>
      <c r="C6" s="35">
        <v>1</v>
      </c>
      <c r="D6" s="459">
        <v>80</v>
      </c>
      <c r="E6" s="459"/>
      <c r="F6" s="499">
        <f t="shared" si="0"/>
        <v>80</v>
      </c>
      <c r="G6" s="500"/>
      <c r="H6" s="154"/>
      <c r="I6" s="460">
        <f t="shared" si="1"/>
        <v>6.67</v>
      </c>
      <c r="J6" s="461"/>
    </row>
    <row r="7" spans="1:10" x14ac:dyDescent="0.25">
      <c r="A7" s="507" t="s">
        <v>184</v>
      </c>
      <c r="B7" s="508"/>
      <c r="C7" s="35">
        <v>1</v>
      </c>
      <c r="D7" s="459">
        <v>35</v>
      </c>
      <c r="E7" s="459"/>
      <c r="F7" s="499">
        <f t="shared" si="0"/>
        <v>35</v>
      </c>
      <c r="G7" s="500"/>
      <c r="H7" s="154"/>
      <c r="I7" s="460">
        <f t="shared" si="1"/>
        <v>2.92</v>
      </c>
      <c r="J7" s="461"/>
    </row>
    <row r="8" spans="1:10" ht="18" customHeight="1" x14ac:dyDescent="0.25">
      <c r="A8" s="507" t="s">
        <v>185</v>
      </c>
      <c r="B8" s="508"/>
      <c r="C8" s="35">
        <v>2</v>
      </c>
      <c r="D8" s="459">
        <v>12</v>
      </c>
      <c r="E8" s="459"/>
      <c r="F8" s="499">
        <f>D8*C8</f>
        <v>24</v>
      </c>
      <c r="G8" s="500"/>
      <c r="H8" s="154"/>
      <c r="I8" s="460">
        <f>F8/12</f>
        <v>2</v>
      </c>
      <c r="J8" s="461"/>
    </row>
    <row r="9" spans="1:10" ht="18" customHeight="1" x14ac:dyDescent="0.25">
      <c r="A9" s="507" t="s">
        <v>237</v>
      </c>
      <c r="B9" s="508"/>
      <c r="C9" s="35">
        <v>1</v>
      </c>
      <c r="D9" s="459">
        <v>135</v>
      </c>
      <c r="E9" s="459"/>
      <c r="F9" s="499">
        <f t="shared" ref="F9" si="2">D9*C9</f>
        <v>135</v>
      </c>
      <c r="G9" s="500"/>
      <c r="H9" s="154"/>
      <c r="I9" s="460">
        <f t="shared" ref="I9" si="3">F9/12</f>
        <v>11.25</v>
      </c>
      <c r="J9" s="461"/>
    </row>
    <row r="10" spans="1:10" x14ac:dyDescent="0.25">
      <c r="A10" s="507" t="s">
        <v>238</v>
      </c>
      <c r="B10" s="508"/>
      <c r="C10" s="35">
        <v>1</v>
      </c>
      <c r="D10" s="459">
        <v>50</v>
      </c>
      <c r="E10" s="459"/>
      <c r="F10" s="499">
        <f t="shared" si="0"/>
        <v>50</v>
      </c>
      <c r="G10" s="500"/>
      <c r="H10" s="154"/>
      <c r="I10" s="460">
        <f t="shared" si="1"/>
        <v>4.17</v>
      </c>
      <c r="J10" s="461"/>
    </row>
    <row r="11" spans="1:10" x14ac:dyDescent="0.25">
      <c r="A11" s="507" t="s">
        <v>186</v>
      </c>
      <c r="B11" s="508"/>
      <c r="C11" s="35">
        <v>1</v>
      </c>
      <c r="D11" s="459">
        <v>20</v>
      </c>
      <c r="E11" s="459"/>
      <c r="F11" s="499">
        <f t="shared" si="0"/>
        <v>20</v>
      </c>
      <c r="G11" s="500"/>
      <c r="H11" s="154"/>
      <c r="I11" s="460">
        <f t="shared" si="1"/>
        <v>1.67</v>
      </c>
      <c r="J11" s="461"/>
    </row>
    <row r="12" spans="1:10" ht="20.25" customHeight="1" x14ac:dyDescent="0.25">
      <c r="A12" s="507" t="s">
        <v>187</v>
      </c>
      <c r="B12" s="508"/>
      <c r="C12" s="35">
        <v>1</v>
      </c>
      <c r="D12" s="459">
        <v>35</v>
      </c>
      <c r="E12" s="459"/>
      <c r="F12" s="499">
        <f t="shared" si="0"/>
        <v>35</v>
      </c>
      <c r="G12" s="500"/>
      <c r="H12" s="154"/>
      <c r="I12" s="460">
        <f t="shared" si="1"/>
        <v>2.92</v>
      </c>
      <c r="J12" s="461"/>
    </row>
    <row r="13" spans="1:10" x14ac:dyDescent="0.25">
      <c r="A13" s="511" t="s">
        <v>25</v>
      </c>
      <c r="B13" s="512"/>
      <c r="C13" s="512"/>
      <c r="D13" s="512"/>
      <c r="E13" s="512"/>
      <c r="F13" s="512"/>
      <c r="G13" s="513"/>
      <c r="H13" s="152"/>
      <c r="I13" s="525">
        <f>SUM(I3:J12)</f>
        <v>68.239999999999995</v>
      </c>
      <c r="J13" s="526"/>
    </row>
    <row r="14" spans="1:10" x14ac:dyDescent="0.25">
      <c r="A14" s="162"/>
      <c r="B14" s="163"/>
      <c r="C14" s="163"/>
      <c r="D14" s="163"/>
      <c r="E14" s="163"/>
      <c r="F14" s="163"/>
      <c r="G14" s="163"/>
      <c r="H14" s="163"/>
      <c r="I14" s="36"/>
      <c r="J14" s="164"/>
    </row>
    <row r="15" spans="1:10" ht="16.5" thickBot="1" x14ac:dyDescent="0.3">
      <c r="A15" s="162"/>
      <c r="B15" s="163"/>
      <c r="C15" s="163"/>
      <c r="D15" s="163"/>
      <c r="E15" s="163"/>
      <c r="F15" s="163"/>
      <c r="G15" s="163"/>
      <c r="H15" s="163"/>
      <c r="I15" s="36"/>
      <c r="J15" s="164"/>
    </row>
    <row r="16" spans="1:10" ht="21" x14ac:dyDescent="0.25">
      <c r="A16" s="519" t="s">
        <v>305</v>
      </c>
      <c r="B16" s="520"/>
      <c r="C16" s="520"/>
      <c r="D16" s="520"/>
      <c r="E16" s="520"/>
      <c r="F16" s="520"/>
      <c r="G16" s="520"/>
      <c r="H16" s="520"/>
      <c r="I16" s="520"/>
      <c r="J16" s="521"/>
    </row>
    <row r="17" spans="1:15" ht="52.5" customHeight="1" x14ac:dyDescent="0.25">
      <c r="A17" s="511" t="s">
        <v>128</v>
      </c>
      <c r="B17" s="513"/>
      <c r="C17" s="33" t="s">
        <v>129</v>
      </c>
      <c r="D17" s="522" t="s">
        <v>130</v>
      </c>
      <c r="E17" s="513"/>
      <c r="F17" s="523" t="s">
        <v>292</v>
      </c>
      <c r="G17" s="524"/>
      <c r="H17" s="232" t="s">
        <v>328</v>
      </c>
      <c r="I17" s="159" t="s">
        <v>200</v>
      </c>
      <c r="J17" s="165" t="s">
        <v>131</v>
      </c>
    </row>
    <row r="18" spans="1:15" ht="80.25" customHeight="1" x14ac:dyDescent="0.25">
      <c r="A18" s="507" t="s">
        <v>189</v>
      </c>
      <c r="B18" s="508"/>
      <c r="C18" s="145" t="s">
        <v>368</v>
      </c>
      <c r="D18" s="517">
        <v>20</v>
      </c>
      <c r="E18" s="518"/>
      <c r="F18" s="499">
        <v>20</v>
      </c>
      <c r="G18" s="500"/>
      <c r="H18" s="233">
        <v>4</v>
      </c>
      <c r="I18" s="246">
        <v>6</v>
      </c>
      <c r="J18" s="166">
        <f>D18/I18/H18</f>
        <v>0.83</v>
      </c>
    </row>
    <row r="19" spans="1:15" ht="15.75" customHeight="1" x14ac:dyDescent="0.25">
      <c r="A19" s="507" t="s">
        <v>192</v>
      </c>
      <c r="B19" s="508"/>
      <c r="C19" s="35">
        <v>1</v>
      </c>
      <c r="D19" s="517">
        <v>15</v>
      </c>
      <c r="E19" s="518"/>
      <c r="F19" s="499">
        <f t="shared" ref="F19:F20" si="4">D19*C19</f>
        <v>15</v>
      </c>
      <c r="G19" s="500"/>
      <c r="H19" s="233"/>
      <c r="I19" s="246">
        <v>30</v>
      </c>
      <c r="J19" s="166">
        <f>F19/I19</f>
        <v>0.5</v>
      </c>
    </row>
    <row r="20" spans="1:15" ht="15.75" customHeight="1" x14ac:dyDescent="0.25">
      <c r="A20" s="507" t="s">
        <v>193</v>
      </c>
      <c r="B20" s="508"/>
      <c r="C20" s="35">
        <v>1</v>
      </c>
      <c r="D20" s="497">
        <v>10</v>
      </c>
      <c r="E20" s="498"/>
      <c r="F20" s="499">
        <f t="shared" si="4"/>
        <v>10</v>
      </c>
      <c r="G20" s="500"/>
      <c r="H20" s="233"/>
      <c r="I20" s="246">
        <v>30</v>
      </c>
      <c r="J20" s="166">
        <f>F20/I20</f>
        <v>0.33</v>
      </c>
    </row>
    <row r="21" spans="1:15" ht="70.5" customHeight="1" x14ac:dyDescent="0.25">
      <c r="A21" s="507" t="s">
        <v>199</v>
      </c>
      <c r="B21" s="508"/>
      <c r="C21" s="145" t="s">
        <v>368</v>
      </c>
      <c r="D21" s="459">
        <v>57.9</v>
      </c>
      <c r="E21" s="459"/>
      <c r="F21" s="499">
        <v>57.9</v>
      </c>
      <c r="G21" s="500"/>
      <c r="H21" s="233">
        <v>4</v>
      </c>
      <c r="I21" s="246">
        <v>36</v>
      </c>
      <c r="J21" s="166">
        <f>D21/I21/H21</f>
        <v>0.4</v>
      </c>
    </row>
    <row r="22" spans="1:15" x14ac:dyDescent="0.25">
      <c r="A22" s="511" t="s">
        <v>25</v>
      </c>
      <c r="B22" s="512"/>
      <c r="C22" s="512"/>
      <c r="D22" s="512"/>
      <c r="E22" s="512"/>
      <c r="F22" s="512"/>
      <c r="G22" s="513"/>
      <c r="H22" s="153"/>
      <c r="I22" s="462">
        <f>SUM(J18:J21)</f>
        <v>2.06</v>
      </c>
      <c r="J22" s="463"/>
    </row>
    <row r="23" spans="1:15" x14ac:dyDescent="0.25">
      <c r="A23" s="167"/>
      <c r="B23" s="168"/>
      <c r="C23" s="168"/>
      <c r="D23" s="169"/>
      <c r="E23" s="170"/>
      <c r="F23" s="170"/>
      <c r="G23" s="170"/>
      <c r="H23" s="170"/>
      <c r="I23" s="170"/>
      <c r="J23" s="171"/>
    </row>
    <row r="24" spans="1:15" ht="21" x14ac:dyDescent="0.25">
      <c r="A24" s="514" t="s">
        <v>304</v>
      </c>
      <c r="B24" s="515"/>
      <c r="C24" s="515"/>
      <c r="D24" s="515"/>
      <c r="E24" s="515"/>
      <c r="F24" s="515"/>
      <c r="G24" s="515"/>
      <c r="H24" s="515"/>
      <c r="I24" s="515"/>
      <c r="J24" s="516"/>
    </row>
    <row r="25" spans="1:15" ht="66.75" customHeight="1" x14ac:dyDescent="0.25">
      <c r="A25" s="464" t="s">
        <v>128</v>
      </c>
      <c r="B25" s="465"/>
      <c r="C25" s="33" t="s">
        <v>129</v>
      </c>
      <c r="D25" s="465" t="s">
        <v>130</v>
      </c>
      <c r="E25" s="465"/>
      <c r="F25" s="509" t="s">
        <v>293</v>
      </c>
      <c r="G25" s="510"/>
      <c r="H25" s="157" t="s">
        <v>328</v>
      </c>
      <c r="I25" s="159" t="s">
        <v>200</v>
      </c>
      <c r="J25" s="165" t="s">
        <v>131</v>
      </c>
    </row>
    <row r="26" spans="1:15" ht="56.25" customHeight="1" x14ac:dyDescent="0.25">
      <c r="A26" s="507" t="s">
        <v>190</v>
      </c>
      <c r="B26" s="508"/>
      <c r="C26" s="145" t="s">
        <v>367</v>
      </c>
      <c r="D26" s="459">
        <v>45</v>
      </c>
      <c r="E26" s="459"/>
      <c r="F26" s="499">
        <v>45</v>
      </c>
      <c r="G26" s="500"/>
      <c r="H26" s="233">
        <v>4</v>
      </c>
      <c r="I26" s="246">
        <v>30</v>
      </c>
      <c r="J26" s="166">
        <f>D26/I26/H26</f>
        <v>0.38</v>
      </c>
    </row>
    <row r="27" spans="1:15" ht="15.75" customHeight="1" x14ac:dyDescent="0.25">
      <c r="A27" s="507" t="s">
        <v>191</v>
      </c>
      <c r="B27" s="508"/>
      <c r="C27" s="35">
        <v>1</v>
      </c>
      <c r="D27" s="459">
        <v>40</v>
      </c>
      <c r="E27" s="459"/>
      <c r="F27" s="499">
        <f t="shared" ref="F27:F35" si="5">D27*C27</f>
        <v>40</v>
      </c>
      <c r="G27" s="500"/>
      <c r="H27" s="154"/>
      <c r="I27" s="246">
        <v>30</v>
      </c>
      <c r="J27" s="166">
        <f t="shared" ref="J27:J35" si="6">F27/I27</f>
        <v>1.33</v>
      </c>
    </row>
    <row r="28" spans="1:15" ht="60.75" customHeight="1" x14ac:dyDescent="0.25">
      <c r="A28" s="507" t="s">
        <v>298</v>
      </c>
      <c r="B28" s="508"/>
      <c r="C28" s="35">
        <v>1</v>
      </c>
      <c r="D28" s="497">
        <v>373.6</v>
      </c>
      <c r="E28" s="498"/>
      <c r="F28" s="499">
        <f t="shared" si="5"/>
        <v>373.6</v>
      </c>
      <c r="G28" s="500"/>
      <c r="H28" s="154"/>
      <c r="I28" s="246">
        <v>60</v>
      </c>
      <c r="J28" s="166">
        <f t="shared" si="6"/>
        <v>6.23</v>
      </c>
    </row>
    <row r="29" spans="1:15" ht="90.75" customHeight="1" x14ac:dyDescent="0.25">
      <c r="A29" s="495" t="s">
        <v>288</v>
      </c>
      <c r="B29" s="496"/>
      <c r="C29" s="145" t="s">
        <v>327</v>
      </c>
      <c r="D29" s="497">
        <v>5399</v>
      </c>
      <c r="E29" s="498"/>
      <c r="F29" s="499">
        <f>D29*1</f>
        <v>5399</v>
      </c>
      <c r="G29" s="500"/>
      <c r="H29" s="233">
        <v>4</v>
      </c>
      <c r="I29" s="246">
        <v>120</v>
      </c>
      <c r="J29" s="166">
        <f>D29/I29/H29</f>
        <v>11.25</v>
      </c>
      <c r="O29" s="144"/>
    </row>
    <row r="30" spans="1:15" ht="15.75" customHeight="1" x14ac:dyDescent="0.25">
      <c r="A30" s="495" t="s">
        <v>194</v>
      </c>
      <c r="B30" s="496"/>
      <c r="C30" s="35">
        <v>1</v>
      </c>
      <c r="D30" s="497">
        <v>75</v>
      </c>
      <c r="E30" s="498"/>
      <c r="F30" s="499">
        <f t="shared" si="5"/>
        <v>75</v>
      </c>
      <c r="G30" s="500"/>
      <c r="H30" s="154"/>
      <c r="I30" s="246">
        <v>30</v>
      </c>
      <c r="J30" s="166">
        <f t="shared" si="6"/>
        <v>2.5</v>
      </c>
    </row>
    <row r="31" spans="1:15" x14ac:dyDescent="0.25">
      <c r="A31" s="495" t="s">
        <v>195</v>
      </c>
      <c r="B31" s="496"/>
      <c r="C31" s="35">
        <v>1</v>
      </c>
      <c r="D31" s="497">
        <v>135</v>
      </c>
      <c r="E31" s="498"/>
      <c r="F31" s="499">
        <f t="shared" si="5"/>
        <v>135</v>
      </c>
      <c r="G31" s="500"/>
      <c r="H31" s="154"/>
      <c r="I31" s="246">
        <v>30</v>
      </c>
      <c r="J31" s="166">
        <f t="shared" si="6"/>
        <v>4.5</v>
      </c>
    </row>
    <row r="32" spans="1:15" ht="22.5" customHeight="1" x14ac:dyDescent="0.25">
      <c r="A32" s="495" t="s">
        <v>196</v>
      </c>
      <c r="B32" s="496"/>
      <c r="C32" s="35">
        <v>12</v>
      </c>
      <c r="D32" s="497">
        <v>12</v>
      </c>
      <c r="E32" s="498"/>
      <c r="F32" s="499">
        <f t="shared" si="5"/>
        <v>144</v>
      </c>
      <c r="G32" s="500"/>
      <c r="H32" s="146">
        <v>4</v>
      </c>
      <c r="I32" s="246">
        <v>12</v>
      </c>
      <c r="J32" s="166">
        <f>F32/I32/H32</f>
        <v>3</v>
      </c>
    </row>
    <row r="33" spans="1:10" ht="71.25" customHeight="1" x14ac:dyDescent="0.25">
      <c r="A33" s="495" t="s">
        <v>197</v>
      </c>
      <c r="B33" s="496"/>
      <c r="C33" s="145" t="s">
        <v>372</v>
      </c>
      <c r="D33" s="497">
        <v>110</v>
      </c>
      <c r="E33" s="498"/>
      <c r="F33" s="499">
        <v>110</v>
      </c>
      <c r="G33" s="500"/>
      <c r="H33" s="233">
        <v>4</v>
      </c>
      <c r="I33" s="246">
        <v>12</v>
      </c>
      <c r="J33" s="166">
        <f>D33/I33/H33</f>
        <v>2.29</v>
      </c>
    </row>
    <row r="34" spans="1:10" ht="106.5" customHeight="1" x14ac:dyDescent="0.25">
      <c r="A34" s="495" t="s">
        <v>295</v>
      </c>
      <c r="B34" s="496"/>
      <c r="C34" s="145" t="s">
        <v>355</v>
      </c>
      <c r="D34" s="497">
        <v>1300</v>
      </c>
      <c r="E34" s="498"/>
      <c r="F34" s="499">
        <v>1300</v>
      </c>
      <c r="G34" s="500"/>
      <c r="H34" s="233">
        <v>4</v>
      </c>
      <c r="I34" s="246">
        <v>60</v>
      </c>
      <c r="J34" s="166">
        <f>D34/I34/H34</f>
        <v>5.42</v>
      </c>
    </row>
    <row r="35" spans="1:10" ht="15.75" customHeight="1" x14ac:dyDescent="0.25">
      <c r="A35" s="495" t="s">
        <v>198</v>
      </c>
      <c r="B35" s="496"/>
      <c r="C35" s="35">
        <v>1</v>
      </c>
      <c r="D35" s="497">
        <v>129</v>
      </c>
      <c r="E35" s="498"/>
      <c r="F35" s="499">
        <f t="shared" si="5"/>
        <v>129</v>
      </c>
      <c r="G35" s="500"/>
      <c r="H35" s="154"/>
      <c r="I35" s="246">
        <v>60</v>
      </c>
      <c r="J35" s="166">
        <f t="shared" si="6"/>
        <v>2.15</v>
      </c>
    </row>
    <row r="36" spans="1:10" ht="37.5" customHeight="1" thickBot="1" x14ac:dyDescent="0.3">
      <c r="A36" s="501" t="s">
        <v>373</v>
      </c>
      <c r="B36" s="502"/>
      <c r="C36" s="502"/>
      <c r="D36" s="502"/>
      <c r="E36" s="502"/>
      <c r="F36" s="502"/>
      <c r="G36" s="502"/>
      <c r="H36" s="502"/>
      <c r="I36" s="502"/>
      <c r="J36" s="503"/>
    </row>
    <row r="37" spans="1:10" ht="27.75" customHeight="1" thickBot="1" x14ac:dyDescent="0.3">
      <c r="A37" s="504" t="s">
        <v>25</v>
      </c>
      <c r="B37" s="505"/>
      <c r="C37" s="505"/>
      <c r="D37" s="505"/>
      <c r="E37" s="505"/>
      <c r="F37" s="505"/>
      <c r="G37" s="505"/>
      <c r="H37" s="506"/>
      <c r="I37" s="489">
        <f>SUM(J26:J35)</f>
        <v>39.049999999999997</v>
      </c>
      <c r="J37" s="490"/>
    </row>
  </sheetData>
  <mergeCells count="102">
    <mergeCell ref="A1:J1"/>
    <mergeCell ref="A2:B2"/>
    <mergeCell ref="D2:E2"/>
    <mergeCell ref="F2:G2"/>
    <mergeCell ref="I2:J2"/>
    <mergeCell ref="A3:B3"/>
    <mergeCell ref="D3:E3"/>
    <mergeCell ref="F3:G3"/>
    <mergeCell ref="I3:J3"/>
    <mergeCell ref="A6:B6"/>
    <mergeCell ref="D6:E6"/>
    <mergeCell ref="F6:G6"/>
    <mergeCell ref="I6:J6"/>
    <mergeCell ref="A7:B7"/>
    <mergeCell ref="D7:E7"/>
    <mergeCell ref="F7:G7"/>
    <mergeCell ref="I7:J7"/>
    <mergeCell ref="A4:B4"/>
    <mergeCell ref="D4:E4"/>
    <mergeCell ref="F4:G4"/>
    <mergeCell ref="I4:J4"/>
    <mergeCell ref="A5:B5"/>
    <mergeCell ref="D5:E5"/>
    <mergeCell ref="F5:G5"/>
    <mergeCell ref="I5:J5"/>
    <mergeCell ref="A10:B10"/>
    <mergeCell ref="D10:E10"/>
    <mergeCell ref="F10:G10"/>
    <mergeCell ref="I10:J10"/>
    <mergeCell ref="A11:B11"/>
    <mergeCell ref="D11:E11"/>
    <mergeCell ref="F11:G11"/>
    <mergeCell ref="I11:J11"/>
    <mergeCell ref="A8:B8"/>
    <mergeCell ref="D8:E8"/>
    <mergeCell ref="F8:G8"/>
    <mergeCell ref="I8:J8"/>
    <mergeCell ref="A9:B9"/>
    <mergeCell ref="D9:E9"/>
    <mergeCell ref="F9:G9"/>
    <mergeCell ref="I9:J9"/>
    <mergeCell ref="A16:J16"/>
    <mergeCell ref="A17:B17"/>
    <mergeCell ref="D17:E17"/>
    <mergeCell ref="F17:G17"/>
    <mergeCell ref="A18:B18"/>
    <mergeCell ref="D18:E18"/>
    <mergeCell ref="F18:G18"/>
    <mergeCell ref="A12:B12"/>
    <mergeCell ref="D12:E12"/>
    <mergeCell ref="F12:G12"/>
    <mergeCell ref="I12:J12"/>
    <mergeCell ref="A13:G13"/>
    <mergeCell ref="I13:J13"/>
    <mergeCell ref="A21:B21"/>
    <mergeCell ref="D21:E21"/>
    <mergeCell ref="F21:G21"/>
    <mergeCell ref="A22:G22"/>
    <mergeCell ref="I22:J22"/>
    <mergeCell ref="A24:J24"/>
    <mergeCell ref="A19:B19"/>
    <mergeCell ref="D19:E19"/>
    <mergeCell ref="F19:G19"/>
    <mergeCell ref="A20:B20"/>
    <mergeCell ref="D20:E20"/>
    <mergeCell ref="F20:G20"/>
    <mergeCell ref="A27:B27"/>
    <mergeCell ref="D27:E27"/>
    <mergeCell ref="F27:G27"/>
    <mergeCell ref="A28:B28"/>
    <mergeCell ref="D28:E28"/>
    <mergeCell ref="F28:G28"/>
    <mergeCell ref="A25:B25"/>
    <mergeCell ref="D25:E25"/>
    <mergeCell ref="F25:G25"/>
    <mergeCell ref="A26:B26"/>
    <mergeCell ref="D26:E26"/>
    <mergeCell ref="F26:G26"/>
    <mergeCell ref="A31:B31"/>
    <mergeCell ref="D31:E31"/>
    <mergeCell ref="F31:G31"/>
    <mergeCell ref="A32:B32"/>
    <mergeCell ref="D32:E32"/>
    <mergeCell ref="F32:G32"/>
    <mergeCell ref="A29:B29"/>
    <mergeCell ref="D29:E29"/>
    <mergeCell ref="F29:G29"/>
    <mergeCell ref="A30:B30"/>
    <mergeCell ref="D30:E30"/>
    <mergeCell ref="F30:G30"/>
    <mergeCell ref="A35:B35"/>
    <mergeCell ref="D35:E35"/>
    <mergeCell ref="F35:G35"/>
    <mergeCell ref="I37:J37"/>
    <mergeCell ref="A33:B33"/>
    <mergeCell ref="D33:E33"/>
    <mergeCell ref="F33:G33"/>
    <mergeCell ref="A34:B34"/>
    <mergeCell ref="D34:E34"/>
    <mergeCell ref="F34:G34"/>
    <mergeCell ref="A36:J36"/>
    <mergeCell ref="A37:H37"/>
  </mergeCells>
  <printOptions horizontalCentered="1"/>
  <pageMargins left="0.51181102362204722" right="0.51181102362204722" top="1.1811023622047245" bottom="1.5748031496062993" header="0.31496062992125984" footer="0.31496062992125984"/>
  <pageSetup paperSize="9" scale="56" fitToHeight="0" orientation="portrait"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39997558519241921"/>
  </sheetPr>
  <dimension ref="A1:J110"/>
  <sheetViews>
    <sheetView topLeftCell="A22" zoomScale="120" zoomScaleNormal="120" workbookViewId="0">
      <selection activeCell="E15" sqref="E15"/>
    </sheetView>
  </sheetViews>
  <sheetFormatPr defaultRowHeight="15" x14ac:dyDescent="0.25"/>
  <cols>
    <col min="1" max="1" width="11.140625" style="210" customWidth="1"/>
    <col min="2" max="2" width="50.28515625" style="211" customWidth="1"/>
    <col min="3" max="3" width="27.140625" style="211" customWidth="1"/>
    <col min="4" max="4" width="22.140625" style="211" customWidth="1"/>
    <col min="5" max="5" width="19.28515625" style="212" customWidth="1"/>
    <col min="8" max="8" width="12.7109375" bestFit="1" customWidth="1"/>
    <col min="9" max="9" width="15" customWidth="1"/>
    <col min="10" max="10" width="12.28515625" customWidth="1"/>
  </cols>
  <sheetData>
    <row r="1" spans="1:10" ht="21" x14ac:dyDescent="0.25">
      <c r="A1" s="300" t="s">
        <v>246</v>
      </c>
      <c r="B1" s="301"/>
      <c r="C1" s="301"/>
      <c r="D1" s="301"/>
      <c r="E1" s="302"/>
    </row>
    <row r="2" spans="1:10" x14ac:dyDescent="0.25">
      <c r="A2" s="537" t="s">
        <v>182</v>
      </c>
      <c r="B2" s="533"/>
      <c r="C2" s="533"/>
      <c r="D2" s="533"/>
      <c r="E2" s="538"/>
    </row>
    <row r="3" spans="1:10" x14ac:dyDescent="0.25">
      <c r="A3" s="37" t="s">
        <v>0</v>
      </c>
      <c r="B3" s="103" t="s">
        <v>1</v>
      </c>
      <c r="C3" s="306" t="s">
        <v>366</v>
      </c>
      <c r="D3" s="306"/>
      <c r="E3" s="307"/>
    </row>
    <row r="4" spans="1:10" x14ac:dyDescent="0.25">
      <c r="A4" s="37" t="s">
        <v>2</v>
      </c>
      <c r="B4" s="103" t="s">
        <v>125</v>
      </c>
      <c r="C4" s="308" t="s">
        <v>182</v>
      </c>
      <c r="D4" s="308"/>
      <c r="E4" s="309"/>
    </row>
    <row r="5" spans="1:10" ht="25.5" x14ac:dyDescent="0.25">
      <c r="A5" s="37" t="s">
        <v>3</v>
      </c>
      <c r="B5" s="103" t="s">
        <v>4</v>
      </c>
      <c r="C5" s="308" t="s">
        <v>340</v>
      </c>
      <c r="D5" s="308"/>
      <c r="E5" s="309"/>
    </row>
    <row r="6" spans="1:10" x14ac:dyDescent="0.25">
      <c r="A6" s="37" t="s">
        <v>5</v>
      </c>
      <c r="B6" s="103" t="s">
        <v>133</v>
      </c>
      <c r="C6" s="308">
        <v>12</v>
      </c>
      <c r="D6" s="308"/>
      <c r="E6" s="309"/>
    </row>
    <row r="7" spans="1:10" x14ac:dyDescent="0.25">
      <c r="A7" s="358" t="s">
        <v>6</v>
      </c>
      <c r="B7" s="327"/>
      <c r="C7" s="327"/>
      <c r="D7" s="327"/>
      <c r="E7" s="328"/>
    </row>
    <row r="8" spans="1:10" x14ac:dyDescent="0.25">
      <c r="A8" s="324" t="s">
        <v>7</v>
      </c>
      <c r="B8" s="325"/>
      <c r="C8" s="325"/>
      <c r="D8" s="325"/>
      <c r="E8" s="326"/>
    </row>
    <row r="9" spans="1:10" x14ac:dyDescent="0.25">
      <c r="A9" s="324" t="s">
        <v>235</v>
      </c>
      <c r="B9" s="327"/>
      <c r="C9" s="327"/>
      <c r="D9" s="327"/>
      <c r="E9" s="328"/>
    </row>
    <row r="10" spans="1:10" ht="25.5" x14ac:dyDescent="0.25">
      <c r="A10" s="37">
        <v>1</v>
      </c>
      <c r="B10" s="40" t="s">
        <v>124</v>
      </c>
      <c r="C10" s="329" t="s">
        <v>338</v>
      </c>
      <c r="D10" s="329"/>
      <c r="E10" s="330"/>
    </row>
    <row r="11" spans="1:10" x14ac:dyDescent="0.25">
      <c r="A11" s="37">
        <v>2</v>
      </c>
      <c r="B11" s="331" t="s">
        <v>9</v>
      </c>
      <c r="C11" s="331"/>
      <c r="D11" s="331"/>
      <c r="E11" s="198">
        <v>1695.43</v>
      </c>
    </row>
    <row r="12" spans="1:10" x14ac:dyDescent="0.25">
      <c r="A12" s="37">
        <v>3</v>
      </c>
      <c r="B12" s="40" t="s">
        <v>10</v>
      </c>
      <c r="C12" s="329" t="s">
        <v>252</v>
      </c>
      <c r="D12" s="329"/>
      <c r="E12" s="330"/>
    </row>
    <row r="13" spans="1:10" x14ac:dyDescent="0.25">
      <c r="A13" s="37">
        <v>4</v>
      </c>
      <c r="B13" s="310" t="s">
        <v>11</v>
      </c>
      <c r="C13" s="310"/>
      <c r="D13" s="310"/>
      <c r="E13" s="221" t="s">
        <v>341</v>
      </c>
    </row>
    <row r="14" spans="1:10" x14ac:dyDescent="0.25">
      <c r="A14" s="311" t="s">
        <v>12</v>
      </c>
      <c r="B14" s="312"/>
      <c r="C14" s="312"/>
      <c r="D14" s="312"/>
      <c r="E14" s="313"/>
      <c r="I14" s="125"/>
      <c r="J14" s="125"/>
    </row>
    <row r="15" spans="1:10" x14ac:dyDescent="0.25">
      <c r="A15" s="239">
        <v>1</v>
      </c>
      <c r="B15" s="314" t="s">
        <v>13</v>
      </c>
      <c r="C15" s="315"/>
      <c r="D15" s="315"/>
      <c r="E15" s="39" t="s">
        <v>8</v>
      </c>
      <c r="J15" s="125"/>
    </row>
    <row r="16" spans="1:10" x14ac:dyDescent="0.25">
      <c r="A16" s="48" t="s">
        <v>0</v>
      </c>
      <c r="B16" s="49" t="s">
        <v>14</v>
      </c>
      <c r="C16" s="316"/>
      <c r="D16" s="316"/>
      <c r="E16" s="50">
        <f>+E11</f>
        <v>1695.43</v>
      </c>
    </row>
    <row r="17" spans="1:5" x14ac:dyDescent="0.25">
      <c r="A17" s="48" t="s">
        <v>2</v>
      </c>
      <c r="B17" s="52" t="s">
        <v>204</v>
      </c>
      <c r="C17" s="241">
        <v>0</v>
      </c>
      <c r="D17" s="107">
        <v>1412</v>
      </c>
      <c r="E17" s="199">
        <f>D17*C17</f>
        <v>0</v>
      </c>
    </row>
    <row r="18" spans="1:5" ht="17.25" customHeight="1" x14ac:dyDescent="0.25">
      <c r="A18" s="48" t="s">
        <v>3</v>
      </c>
      <c r="B18" s="49" t="s">
        <v>16</v>
      </c>
      <c r="C18" s="317">
        <v>0</v>
      </c>
      <c r="D18" s="318"/>
      <c r="E18" s="199">
        <f>0</f>
        <v>0</v>
      </c>
    </row>
    <row r="19" spans="1:5" ht="14.25" customHeight="1" x14ac:dyDescent="0.25">
      <c r="A19" s="48" t="s">
        <v>123</v>
      </c>
      <c r="B19" s="319" t="s">
        <v>210</v>
      </c>
      <c r="C19" s="320"/>
      <c r="D19" s="320"/>
      <c r="E19" s="51">
        <f>SUM(E16:E18)</f>
        <v>1695.43</v>
      </c>
    </row>
    <row r="20" spans="1:5" ht="19.5" customHeight="1" x14ac:dyDescent="0.25">
      <c r="A20" s="48" t="s">
        <v>5</v>
      </c>
      <c r="B20" s="49" t="s">
        <v>15</v>
      </c>
      <c r="C20" s="110">
        <v>0.3</v>
      </c>
      <c r="D20" s="111">
        <f>E19</f>
        <v>1695.43</v>
      </c>
      <c r="E20" s="199">
        <f>E19*C20</f>
        <v>508.63</v>
      </c>
    </row>
    <row r="21" spans="1:5" x14ac:dyDescent="0.25">
      <c r="A21" s="335" t="s">
        <v>20</v>
      </c>
      <c r="B21" s="336"/>
      <c r="C21" s="336"/>
      <c r="D21" s="336"/>
      <c r="E21" s="54">
        <f>SUM(E19:E20)</f>
        <v>2204.06</v>
      </c>
    </row>
    <row r="22" spans="1:5" x14ac:dyDescent="0.25">
      <c r="A22" s="311" t="s">
        <v>45</v>
      </c>
      <c r="B22" s="312"/>
      <c r="C22" s="312"/>
      <c r="D22" s="312"/>
      <c r="E22" s="313"/>
    </row>
    <row r="23" spans="1:5" x14ac:dyDescent="0.25">
      <c r="A23" s="239" t="s">
        <v>134</v>
      </c>
      <c r="B23" s="314" t="s">
        <v>135</v>
      </c>
      <c r="C23" s="315"/>
      <c r="D23" s="315"/>
      <c r="E23" s="39" t="s">
        <v>8</v>
      </c>
    </row>
    <row r="24" spans="1:5" x14ac:dyDescent="0.25">
      <c r="A24" s="56" t="s">
        <v>0</v>
      </c>
      <c r="B24" s="337" t="s">
        <v>27</v>
      </c>
      <c r="C24" s="337"/>
      <c r="D24" s="58">
        <f>1/12</f>
        <v>8.3299999999999999E-2</v>
      </c>
      <c r="E24" s="46">
        <f>ROUND(+$E$21*D24,2)</f>
        <v>183.6</v>
      </c>
    </row>
    <row r="25" spans="1:5" x14ac:dyDescent="0.25">
      <c r="A25" s="56" t="s">
        <v>2</v>
      </c>
      <c r="B25" s="337" t="s">
        <v>136</v>
      </c>
      <c r="C25" s="337"/>
      <c r="D25" s="58">
        <v>0.1111</v>
      </c>
      <c r="E25" s="46">
        <f>ROUND(+$E$21*D25,2)</f>
        <v>244.87</v>
      </c>
    </row>
    <row r="26" spans="1:5" x14ac:dyDescent="0.25">
      <c r="A26" s="335" t="s">
        <v>25</v>
      </c>
      <c r="B26" s="336"/>
      <c r="C26" s="338"/>
      <c r="D26" s="59">
        <f>SUM(D24:D25)</f>
        <v>0.19439999999999999</v>
      </c>
      <c r="E26" s="54">
        <f>SUM(E24:E25)</f>
        <v>428.47</v>
      </c>
    </row>
    <row r="27" spans="1:5" ht="29.25" customHeight="1" x14ac:dyDescent="0.25">
      <c r="A27" s="332" t="s">
        <v>137</v>
      </c>
      <c r="B27" s="333"/>
      <c r="C27" s="333"/>
      <c r="D27" s="333"/>
      <c r="E27" s="334"/>
    </row>
    <row r="28" spans="1:5" x14ac:dyDescent="0.25">
      <c r="A28" s="239" t="s">
        <v>138</v>
      </c>
      <c r="B28" s="314" t="s">
        <v>23</v>
      </c>
      <c r="C28" s="315"/>
      <c r="D28" s="315"/>
      <c r="E28" s="39" t="s">
        <v>8</v>
      </c>
    </row>
    <row r="29" spans="1:5" x14ac:dyDescent="0.25">
      <c r="A29" s="56" t="s">
        <v>0</v>
      </c>
      <c r="B29" s="310" t="s">
        <v>139</v>
      </c>
      <c r="C29" s="310"/>
      <c r="D29" s="58">
        <v>0.2</v>
      </c>
      <c r="E29" s="46">
        <f>(E21+E26)*D29</f>
        <v>526.51</v>
      </c>
    </row>
    <row r="30" spans="1:5" x14ac:dyDescent="0.25">
      <c r="A30" s="56" t="s">
        <v>2</v>
      </c>
      <c r="B30" s="310" t="s">
        <v>140</v>
      </c>
      <c r="C30" s="310"/>
      <c r="D30" s="58">
        <v>1.4999999999999999E-2</v>
      </c>
      <c r="E30" s="46">
        <f>(E21+E26)*D30</f>
        <v>39.49</v>
      </c>
    </row>
    <row r="31" spans="1:5" x14ac:dyDescent="0.25">
      <c r="A31" s="56" t="s">
        <v>3</v>
      </c>
      <c r="B31" s="310" t="s">
        <v>240</v>
      </c>
      <c r="C31" s="310"/>
      <c r="D31" s="58">
        <v>0.01</v>
      </c>
      <c r="E31" s="46">
        <f>(E21+E26)*D31</f>
        <v>26.33</v>
      </c>
    </row>
    <row r="32" spans="1:5" x14ac:dyDescent="0.25">
      <c r="A32" s="56" t="s">
        <v>5</v>
      </c>
      <c r="B32" s="310" t="s">
        <v>142</v>
      </c>
      <c r="C32" s="310"/>
      <c r="D32" s="58">
        <v>2E-3</v>
      </c>
      <c r="E32" s="46">
        <f>(E21+E26)*D32</f>
        <v>5.27</v>
      </c>
    </row>
    <row r="33" spans="1:9" x14ac:dyDescent="0.25">
      <c r="A33" s="56" t="s">
        <v>17</v>
      </c>
      <c r="B33" s="310" t="s">
        <v>241</v>
      </c>
      <c r="C33" s="310"/>
      <c r="D33" s="58">
        <v>2.5000000000000001E-2</v>
      </c>
      <c r="E33" s="46">
        <f>(E21+E26)*D33</f>
        <v>65.81</v>
      </c>
    </row>
    <row r="34" spans="1:9" x14ac:dyDescent="0.25">
      <c r="A34" s="56" t="s">
        <v>18</v>
      </c>
      <c r="B34" s="310" t="s">
        <v>144</v>
      </c>
      <c r="C34" s="310"/>
      <c r="D34" s="58">
        <v>0.08</v>
      </c>
      <c r="E34" s="46">
        <f>(E21+E26)*D34</f>
        <v>210.6</v>
      </c>
    </row>
    <row r="35" spans="1:9" x14ac:dyDescent="0.25">
      <c r="A35" s="56" t="s">
        <v>19</v>
      </c>
      <c r="B35" s="310" t="s">
        <v>145</v>
      </c>
      <c r="C35" s="310"/>
      <c r="D35" s="58">
        <v>0.06</v>
      </c>
      <c r="E35" s="46">
        <f>(E21+E26)*D35</f>
        <v>157.94999999999999</v>
      </c>
    </row>
    <row r="36" spans="1:9" x14ac:dyDescent="0.25">
      <c r="A36" s="63" t="s">
        <v>24</v>
      </c>
      <c r="B36" s="339" t="s">
        <v>146</v>
      </c>
      <c r="C36" s="339"/>
      <c r="D36" s="66">
        <v>6.0000000000000001E-3</v>
      </c>
      <c r="E36" s="55">
        <f>(E21+E26)*D36</f>
        <v>15.8</v>
      </c>
    </row>
    <row r="37" spans="1:9" x14ac:dyDescent="0.25">
      <c r="A37" s="335" t="s">
        <v>25</v>
      </c>
      <c r="B37" s="336"/>
      <c r="C37" s="338"/>
      <c r="D37" s="59">
        <f>SUM(D29:D36)</f>
        <v>0.39800000000000002</v>
      </c>
      <c r="E37" s="54">
        <f>SUM(E29:E36)</f>
        <v>1047.76</v>
      </c>
    </row>
    <row r="38" spans="1:9" x14ac:dyDescent="0.25">
      <c r="A38" s="239" t="s">
        <v>147</v>
      </c>
      <c r="B38" s="314" t="s">
        <v>148</v>
      </c>
      <c r="C38" s="315"/>
      <c r="D38" s="315"/>
      <c r="E38" s="39" t="s">
        <v>8</v>
      </c>
    </row>
    <row r="39" spans="1:9" ht="15" customHeight="1" x14ac:dyDescent="0.25">
      <c r="A39" s="56" t="s">
        <v>0</v>
      </c>
      <c r="B39" s="337" t="s">
        <v>342</v>
      </c>
      <c r="C39" s="337"/>
      <c r="D39" s="98">
        <v>6</v>
      </c>
      <c r="E39" s="200">
        <f>(D39*30.42)-(E16*0.06)</f>
        <v>80.790000000000006</v>
      </c>
      <c r="I39" s="125"/>
    </row>
    <row r="40" spans="1:9" ht="16.5" customHeight="1" x14ac:dyDescent="0.25">
      <c r="A40" s="56" t="s">
        <v>2</v>
      </c>
      <c r="B40" s="337" t="s">
        <v>343</v>
      </c>
      <c r="C40" s="337"/>
      <c r="D40" s="89">
        <v>41</v>
      </c>
      <c r="E40" s="50">
        <f>(D40*15.21)-(D40*15.21*1%)</f>
        <v>617.37</v>
      </c>
      <c r="I40" s="125"/>
    </row>
    <row r="41" spans="1:9" ht="15" customHeight="1" x14ac:dyDescent="0.25">
      <c r="A41" s="56" t="s">
        <v>3</v>
      </c>
      <c r="B41" s="337" t="s">
        <v>344</v>
      </c>
      <c r="C41" s="337"/>
      <c r="D41" s="92"/>
      <c r="E41" s="50">
        <f>((E11*16%) -(E11*1%))/12</f>
        <v>21.19</v>
      </c>
    </row>
    <row r="42" spans="1:9" ht="15" customHeight="1" x14ac:dyDescent="0.25">
      <c r="A42" s="56" t="s">
        <v>5</v>
      </c>
      <c r="B42" s="337" t="s">
        <v>345</v>
      </c>
      <c r="C42" s="337"/>
      <c r="D42" s="85">
        <v>14.16</v>
      </c>
      <c r="E42" s="200">
        <f>D42</f>
        <v>14.16</v>
      </c>
      <c r="H42" s="125"/>
    </row>
    <row r="43" spans="1:9" ht="15" customHeight="1" x14ac:dyDescent="0.25">
      <c r="A43" s="56" t="s">
        <v>17</v>
      </c>
      <c r="B43" s="337" t="s">
        <v>346</v>
      </c>
      <c r="C43" s="337"/>
      <c r="D43" s="85"/>
      <c r="E43" s="200">
        <f>(((E16+E20)*26+((E16)*5))/1000*0.21)</f>
        <v>13.81</v>
      </c>
      <c r="H43" s="125"/>
    </row>
    <row r="44" spans="1:9" ht="15.6" customHeight="1" x14ac:dyDescent="0.25">
      <c r="A44" s="335" t="s">
        <v>21</v>
      </c>
      <c r="B44" s="336"/>
      <c r="C44" s="336"/>
      <c r="D44" s="336"/>
      <c r="E44" s="54">
        <f>SUM(E39:E43)</f>
        <v>747.32</v>
      </c>
      <c r="H44" s="125"/>
    </row>
    <row r="45" spans="1:9" x14ac:dyDescent="0.25">
      <c r="A45" s="311" t="s">
        <v>150</v>
      </c>
      <c r="B45" s="312"/>
      <c r="C45" s="312"/>
      <c r="D45" s="312"/>
      <c r="E45" s="46"/>
      <c r="H45" s="125"/>
    </row>
    <row r="46" spans="1:9" x14ac:dyDescent="0.25">
      <c r="A46" s="239" t="s">
        <v>134</v>
      </c>
      <c r="B46" s="314" t="s">
        <v>151</v>
      </c>
      <c r="C46" s="315"/>
      <c r="D46" s="315"/>
      <c r="E46" s="47">
        <f>E26</f>
        <v>428.47</v>
      </c>
      <c r="H46" s="125"/>
    </row>
    <row r="47" spans="1:9" x14ac:dyDescent="0.25">
      <c r="A47" s="239" t="s">
        <v>138</v>
      </c>
      <c r="B47" s="337" t="s">
        <v>250</v>
      </c>
      <c r="C47" s="337"/>
      <c r="D47" s="337"/>
      <c r="E47" s="46">
        <f>E37</f>
        <v>1047.76</v>
      </c>
    </row>
    <row r="48" spans="1:9" x14ac:dyDescent="0.25">
      <c r="A48" s="239" t="s">
        <v>147</v>
      </c>
      <c r="B48" s="337" t="s">
        <v>153</v>
      </c>
      <c r="C48" s="337"/>
      <c r="D48" s="337"/>
      <c r="E48" s="46">
        <f>E44</f>
        <v>747.32</v>
      </c>
    </row>
    <row r="49" spans="1:6" x14ac:dyDescent="0.25">
      <c r="A49" s="335" t="s">
        <v>25</v>
      </c>
      <c r="B49" s="336"/>
      <c r="C49" s="338"/>
      <c r="D49" s="68" t="s">
        <v>123</v>
      </c>
      <c r="E49" s="54">
        <f>SUM(E46:E48)</f>
        <v>2223.5500000000002</v>
      </c>
    </row>
    <row r="50" spans="1:6" x14ac:dyDescent="0.25">
      <c r="A50" s="311" t="s">
        <v>154</v>
      </c>
      <c r="B50" s="312"/>
      <c r="C50" s="312"/>
      <c r="D50" s="312"/>
      <c r="E50" s="313"/>
    </row>
    <row r="51" spans="1:6" x14ac:dyDescent="0.25">
      <c r="A51" s="239" t="s">
        <v>155</v>
      </c>
      <c r="B51" s="314" t="s">
        <v>28</v>
      </c>
      <c r="C51" s="315"/>
      <c r="D51" s="315"/>
      <c r="E51" s="39" t="s">
        <v>8</v>
      </c>
    </row>
    <row r="52" spans="1:6" x14ac:dyDescent="0.25">
      <c r="A52" s="56" t="s">
        <v>0</v>
      </c>
      <c r="B52" s="337" t="s">
        <v>156</v>
      </c>
      <c r="C52" s="337"/>
      <c r="D52" s="58">
        <v>4.5999999999999999E-3</v>
      </c>
      <c r="E52" s="46">
        <f t="shared" ref="E52:E55" si="0">ROUND(+D52*$E$21,2)</f>
        <v>10.14</v>
      </c>
    </row>
    <row r="53" spans="1:6" x14ac:dyDescent="0.25">
      <c r="A53" s="56" t="s">
        <v>2</v>
      </c>
      <c r="B53" s="337" t="s">
        <v>157</v>
      </c>
      <c r="C53" s="337"/>
      <c r="D53" s="58">
        <f>D34*D52</f>
        <v>4.0000000000000002E-4</v>
      </c>
      <c r="E53" s="46">
        <f t="shared" si="0"/>
        <v>0.88</v>
      </c>
    </row>
    <row r="54" spans="1:6" x14ac:dyDescent="0.25">
      <c r="A54" s="56" t="s">
        <v>3</v>
      </c>
      <c r="B54" s="310" t="s">
        <v>29</v>
      </c>
      <c r="C54" s="310"/>
      <c r="D54" s="58">
        <v>1.9400000000000001E-2</v>
      </c>
      <c r="E54" s="46">
        <f t="shared" si="0"/>
        <v>42.76</v>
      </c>
    </row>
    <row r="55" spans="1:6" x14ac:dyDescent="0.25">
      <c r="A55" s="56" t="s">
        <v>5</v>
      </c>
      <c r="B55" s="337" t="s">
        <v>158</v>
      </c>
      <c r="C55" s="337"/>
      <c r="D55" s="58">
        <f>D37*D54</f>
        <v>7.7000000000000002E-3</v>
      </c>
      <c r="E55" s="46">
        <f t="shared" si="0"/>
        <v>16.97</v>
      </c>
    </row>
    <row r="56" spans="1:6" ht="33" customHeight="1" x14ac:dyDescent="0.25">
      <c r="A56" s="56" t="s">
        <v>17</v>
      </c>
      <c r="B56" s="337" t="s">
        <v>211</v>
      </c>
      <c r="C56" s="337"/>
      <c r="D56" s="58">
        <f>4%</f>
        <v>0.04</v>
      </c>
      <c r="E56" s="46">
        <f>ROUND(+D56*$E$21,2)</f>
        <v>88.16</v>
      </c>
    </row>
    <row r="57" spans="1:6" x14ac:dyDescent="0.25">
      <c r="A57" s="335" t="s">
        <v>25</v>
      </c>
      <c r="B57" s="336"/>
      <c r="C57" s="336"/>
      <c r="D57" s="70">
        <f>SUM(D52:D56)</f>
        <v>7.2099999999999997E-2</v>
      </c>
      <c r="E57" s="54">
        <f>SUM(E52:E56)</f>
        <v>158.91</v>
      </c>
    </row>
    <row r="58" spans="1:6" x14ac:dyDescent="0.25">
      <c r="A58" s="311" t="s">
        <v>159</v>
      </c>
      <c r="B58" s="312"/>
      <c r="C58" s="312"/>
      <c r="D58" s="312"/>
      <c r="E58" s="313"/>
    </row>
    <row r="59" spans="1:6" x14ac:dyDescent="0.25">
      <c r="A59" s="239" t="s">
        <v>22</v>
      </c>
      <c r="B59" s="312" t="s">
        <v>160</v>
      </c>
      <c r="C59" s="312"/>
      <c r="D59" s="312"/>
      <c r="E59" s="39" t="s">
        <v>8</v>
      </c>
    </row>
    <row r="60" spans="1:6" x14ac:dyDescent="0.25">
      <c r="A60" s="56" t="s">
        <v>0</v>
      </c>
      <c r="B60" s="337" t="s">
        <v>161</v>
      </c>
      <c r="C60" s="337"/>
      <c r="D60" s="58">
        <f>((1+1/3)/12)/12</f>
        <v>9.2999999999999992E-3</v>
      </c>
      <c r="E60" s="46">
        <f>(E21+E49+E57+E79)*D60</f>
        <v>43.29</v>
      </c>
    </row>
    <row r="61" spans="1:6" x14ac:dyDescent="0.25">
      <c r="A61" s="56" t="s">
        <v>2</v>
      </c>
      <c r="B61" s="337" t="s">
        <v>162</v>
      </c>
      <c r="C61" s="337"/>
      <c r="D61" s="58">
        <v>1.66E-2</v>
      </c>
      <c r="E61" s="46">
        <f>(E21+E49+E57+E79)*D61</f>
        <v>77.27</v>
      </c>
      <c r="F61" t="s">
        <v>222</v>
      </c>
    </row>
    <row r="62" spans="1:6" x14ac:dyDescent="0.25">
      <c r="A62" s="56" t="s">
        <v>3</v>
      </c>
      <c r="B62" s="337" t="s">
        <v>163</v>
      </c>
      <c r="C62" s="337"/>
      <c r="D62" s="58">
        <f>(5/30)*(1/12)*6.24%*95.04%</f>
        <v>8.0000000000000004E-4</v>
      </c>
      <c r="E62" s="46">
        <f>(E21+E49+E57+E79)*D62</f>
        <v>3.72</v>
      </c>
      <c r="F62" t="s">
        <v>223</v>
      </c>
    </row>
    <row r="63" spans="1:6" x14ac:dyDescent="0.25">
      <c r="A63" s="56" t="s">
        <v>5</v>
      </c>
      <c r="B63" s="337" t="s">
        <v>164</v>
      </c>
      <c r="C63" s="337"/>
      <c r="D63" s="58">
        <f>(1/30)*(1/12)</f>
        <v>2.8E-3</v>
      </c>
      <c r="E63" s="46">
        <f>(E21+E49+E57+E79)*D63</f>
        <v>13.03</v>
      </c>
      <c r="F63" t="s">
        <v>224</v>
      </c>
    </row>
    <row r="64" spans="1:6" x14ac:dyDescent="0.25">
      <c r="A64" s="56" t="s">
        <v>17</v>
      </c>
      <c r="B64" s="337" t="s">
        <v>165</v>
      </c>
      <c r="C64" s="337"/>
      <c r="D64" s="58">
        <f>(0.91/30)*(1/12)</f>
        <v>2.5000000000000001E-3</v>
      </c>
      <c r="E64" s="46">
        <f>(E21+E49+E57+E79)*D64</f>
        <v>11.64</v>
      </c>
      <c r="F64" t="s">
        <v>225</v>
      </c>
    </row>
    <row r="65" spans="1:7" x14ac:dyDescent="0.25">
      <c r="A65" s="56" t="s">
        <v>18</v>
      </c>
      <c r="B65" s="340" t="s">
        <v>244</v>
      </c>
      <c r="C65" s="340"/>
      <c r="D65" s="117">
        <f>(7/30)*(1/24)</f>
        <v>9.7000000000000003E-3</v>
      </c>
      <c r="E65" s="46">
        <f>(E21+E49+E57+E79)*D65</f>
        <v>45.15</v>
      </c>
      <c r="F65" s="94" t="s">
        <v>226</v>
      </c>
    </row>
    <row r="66" spans="1:7" x14ac:dyDescent="0.25">
      <c r="A66" s="335" t="s">
        <v>166</v>
      </c>
      <c r="B66" s="336"/>
      <c r="C66" s="336"/>
      <c r="D66" s="70">
        <f>SUM(D60:D65)</f>
        <v>4.1700000000000001E-2</v>
      </c>
      <c r="E66" s="54">
        <f>SUM(E60:E65)</f>
        <v>194.1</v>
      </c>
    </row>
    <row r="67" spans="1:7" x14ac:dyDescent="0.25">
      <c r="A67" s="311"/>
      <c r="B67" s="312"/>
      <c r="C67" s="312"/>
      <c r="D67" s="312"/>
      <c r="E67" s="46"/>
    </row>
    <row r="68" spans="1:7" x14ac:dyDescent="0.25">
      <c r="A68" s="239" t="s">
        <v>123</v>
      </c>
      <c r="B68" s="314" t="s">
        <v>167</v>
      </c>
      <c r="C68" s="315"/>
      <c r="D68" s="315"/>
      <c r="E68" s="39" t="s">
        <v>8</v>
      </c>
    </row>
    <row r="69" spans="1:7" x14ac:dyDescent="0.25">
      <c r="A69" s="56" t="s">
        <v>0</v>
      </c>
      <c r="B69" s="337" t="s">
        <v>357</v>
      </c>
      <c r="C69" s="337"/>
      <c r="D69" s="337"/>
      <c r="E69" s="46">
        <v>724.41</v>
      </c>
      <c r="G69" s="87"/>
    </row>
    <row r="70" spans="1:7" ht="12.75" customHeight="1" x14ac:dyDescent="0.25">
      <c r="A70" s="56" t="s">
        <v>2</v>
      </c>
      <c r="B70" s="341"/>
      <c r="C70" s="342"/>
      <c r="D70" s="219"/>
      <c r="E70" s="46"/>
      <c r="G70" s="87"/>
    </row>
    <row r="71" spans="1:7" x14ac:dyDescent="0.25">
      <c r="A71" s="335" t="s">
        <v>25</v>
      </c>
      <c r="B71" s="336"/>
      <c r="C71" s="336"/>
      <c r="D71" s="59"/>
      <c r="E71" s="54">
        <f>SUM(E69:E70)</f>
        <v>724.41</v>
      </c>
    </row>
    <row r="72" spans="1:7" x14ac:dyDescent="0.25">
      <c r="A72" s="311" t="s">
        <v>169</v>
      </c>
      <c r="B72" s="312"/>
      <c r="C72" s="312"/>
      <c r="D72" s="312"/>
      <c r="E72" s="46"/>
    </row>
    <row r="73" spans="1:7" x14ac:dyDescent="0.25">
      <c r="A73" s="239">
        <v>4</v>
      </c>
      <c r="B73" s="314" t="s">
        <v>30</v>
      </c>
      <c r="C73" s="315"/>
      <c r="D73" s="315"/>
      <c r="E73" s="39" t="s">
        <v>8</v>
      </c>
    </row>
    <row r="74" spans="1:7" x14ac:dyDescent="0.25">
      <c r="A74" s="56" t="s">
        <v>22</v>
      </c>
      <c r="B74" s="337" t="s">
        <v>160</v>
      </c>
      <c r="C74" s="337"/>
      <c r="D74" s="58">
        <f>D66</f>
        <v>4.1700000000000001E-2</v>
      </c>
      <c r="E74" s="46">
        <f>E66</f>
        <v>194.1</v>
      </c>
    </row>
    <row r="75" spans="1:7" x14ac:dyDescent="0.25">
      <c r="A75" s="56" t="s">
        <v>26</v>
      </c>
      <c r="B75" s="337" t="s">
        <v>167</v>
      </c>
      <c r="C75" s="337"/>
      <c r="D75" s="58"/>
      <c r="E75" s="46">
        <f>E71</f>
        <v>724.41</v>
      </c>
    </row>
    <row r="76" spans="1:7" x14ac:dyDescent="0.25">
      <c r="A76" s="335" t="s">
        <v>170</v>
      </c>
      <c r="B76" s="336"/>
      <c r="C76" s="336"/>
      <c r="D76" s="70">
        <f>SUM(D71:D75)</f>
        <v>4.1700000000000001E-2</v>
      </c>
      <c r="E76" s="54">
        <f>SUM(E74+E75)</f>
        <v>918.51</v>
      </c>
    </row>
    <row r="77" spans="1:7" x14ac:dyDescent="0.25">
      <c r="A77" s="311" t="s">
        <v>171</v>
      </c>
      <c r="B77" s="312"/>
      <c r="C77" s="312"/>
      <c r="D77" s="312"/>
      <c r="E77" s="313"/>
    </row>
    <row r="78" spans="1:7" x14ac:dyDescent="0.25">
      <c r="A78" s="239">
        <v>5</v>
      </c>
      <c r="B78" s="314" t="s">
        <v>172</v>
      </c>
      <c r="C78" s="315"/>
      <c r="D78" s="315"/>
      <c r="E78" s="39" t="s">
        <v>8</v>
      </c>
    </row>
    <row r="79" spans="1:7" x14ac:dyDescent="0.25">
      <c r="A79" s="56" t="s">
        <v>0</v>
      </c>
      <c r="B79" s="337" t="s">
        <v>173</v>
      </c>
      <c r="C79" s="337"/>
      <c r="D79" s="337"/>
      <c r="E79" s="46">
        <f>'Mat. Unif.LOTE II a VII'!I13</f>
        <v>68.239999999999995</v>
      </c>
    </row>
    <row r="80" spans="1:7" x14ac:dyDescent="0.25">
      <c r="A80" s="56" t="s">
        <v>2</v>
      </c>
      <c r="B80" s="337" t="s">
        <v>174</v>
      </c>
      <c r="C80" s="337"/>
      <c r="D80" s="337"/>
      <c r="E80" s="46">
        <f>'Mat. Unif.-LOTE I'!I22</f>
        <v>2.06</v>
      </c>
    </row>
    <row r="81" spans="1:5" x14ac:dyDescent="0.25">
      <c r="A81" s="56" t="s">
        <v>3</v>
      </c>
      <c r="B81" s="337" t="s">
        <v>175</v>
      </c>
      <c r="C81" s="337"/>
      <c r="D81" s="337"/>
      <c r="E81" s="46">
        <f>'Mat. Unif.LOTE II a VII'!I37</f>
        <v>39.049999999999997</v>
      </c>
    </row>
    <row r="82" spans="1:5" x14ac:dyDescent="0.25">
      <c r="A82" s="56" t="s">
        <v>5</v>
      </c>
      <c r="B82" s="337" t="s">
        <v>207</v>
      </c>
      <c r="C82" s="337"/>
      <c r="D82" s="337"/>
      <c r="E82" s="46">
        <v>33.869999999999997</v>
      </c>
    </row>
    <row r="83" spans="1:5" x14ac:dyDescent="0.25">
      <c r="A83" s="335" t="s">
        <v>176</v>
      </c>
      <c r="B83" s="336"/>
      <c r="C83" s="336"/>
      <c r="D83" s="70" t="s">
        <v>123</v>
      </c>
      <c r="E83" s="54">
        <f>SUM(E79:E82)</f>
        <v>143.22</v>
      </c>
    </row>
    <row r="84" spans="1:5" x14ac:dyDescent="0.25">
      <c r="A84" s="344" t="s">
        <v>31</v>
      </c>
      <c r="B84" s="346"/>
      <c r="C84" s="346" t="s">
        <v>25</v>
      </c>
      <c r="D84" s="346"/>
      <c r="E84" s="46">
        <f>SUM(E21+E49+E57+E76+E83)</f>
        <v>5648.25</v>
      </c>
    </row>
    <row r="85" spans="1:5" ht="30.75" customHeight="1" x14ac:dyDescent="0.25">
      <c r="A85" s="347" t="s">
        <v>242</v>
      </c>
      <c r="B85" s="348"/>
      <c r="C85" s="348"/>
      <c r="D85" s="118"/>
      <c r="E85" s="54">
        <f>E84</f>
        <v>5648.25</v>
      </c>
    </row>
    <row r="86" spans="1:5" x14ac:dyDescent="0.25">
      <c r="A86" s="311" t="s">
        <v>177</v>
      </c>
      <c r="B86" s="312"/>
      <c r="C86" s="312"/>
      <c r="D86" s="312"/>
      <c r="E86" s="313"/>
    </row>
    <row r="87" spans="1:5" x14ac:dyDescent="0.25">
      <c r="A87" s="239">
        <v>6</v>
      </c>
      <c r="B87" s="314" t="s">
        <v>32</v>
      </c>
      <c r="C87" s="315"/>
      <c r="D87" s="315"/>
      <c r="E87" s="39" t="s">
        <v>8</v>
      </c>
    </row>
    <row r="88" spans="1:5" x14ac:dyDescent="0.25">
      <c r="A88" s="239" t="s">
        <v>0</v>
      </c>
      <c r="B88" s="240" t="s">
        <v>33</v>
      </c>
      <c r="C88" s="343">
        <v>0.06</v>
      </c>
      <c r="D88" s="343"/>
      <c r="E88" s="46">
        <f>+E85*C88</f>
        <v>338.9</v>
      </c>
    </row>
    <row r="89" spans="1:5" x14ac:dyDescent="0.25">
      <c r="A89" s="239" t="s">
        <v>2</v>
      </c>
      <c r="B89" s="240" t="s">
        <v>34</v>
      </c>
      <c r="C89" s="343">
        <v>6.7900000000000002E-2</v>
      </c>
      <c r="D89" s="343"/>
      <c r="E89" s="46">
        <f>C89*(+E85+E88)</f>
        <v>406.53</v>
      </c>
    </row>
    <row r="90" spans="1:5" ht="36" customHeight="1" x14ac:dyDescent="0.25">
      <c r="A90" s="344" t="s">
        <v>3</v>
      </c>
      <c r="B90" s="345" t="s">
        <v>44</v>
      </c>
      <c r="C90" s="345"/>
      <c r="D90" s="71">
        <f>+(100-8.65)/100</f>
        <v>0.91349999999999998</v>
      </c>
      <c r="E90" s="46">
        <f>+E85+E88+E89</f>
        <v>6393.68</v>
      </c>
    </row>
    <row r="91" spans="1:5" x14ac:dyDescent="0.25">
      <c r="A91" s="344"/>
      <c r="B91" s="238" t="s">
        <v>35</v>
      </c>
      <c r="C91" s="60"/>
      <c r="D91" s="60"/>
      <c r="E91" s="201">
        <f>+E90/D90</f>
        <v>6999.1</v>
      </c>
    </row>
    <row r="92" spans="1:5" x14ac:dyDescent="0.25">
      <c r="A92" s="344"/>
      <c r="B92" s="238" t="s">
        <v>36</v>
      </c>
      <c r="C92" s="238"/>
      <c r="D92" s="238"/>
      <c r="E92" s="46"/>
    </row>
    <row r="93" spans="1:5" x14ac:dyDescent="0.25">
      <c r="A93" s="344"/>
      <c r="B93" s="53" t="s">
        <v>208</v>
      </c>
      <c r="C93" s="61"/>
      <c r="D93" s="58">
        <v>6.4999999999999997E-3</v>
      </c>
      <c r="E93" s="46">
        <f>+E91*D93</f>
        <v>45.49</v>
      </c>
    </row>
    <row r="94" spans="1:5" x14ac:dyDescent="0.25">
      <c r="A94" s="344"/>
      <c r="B94" s="53" t="s">
        <v>209</v>
      </c>
      <c r="C94" s="61"/>
      <c r="D94" s="58">
        <v>0.03</v>
      </c>
      <c r="E94" s="46">
        <f>+E91*D94</f>
        <v>209.97</v>
      </c>
    </row>
    <row r="95" spans="1:5" x14ac:dyDescent="0.25">
      <c r="A95" s="344"/>
      <c r="B95" s="120" t="s">
        <v>37</v>
      </c>
      <c r="C95" s="73"/>
      <c r="D95" s="60"/>
      <c r="E95" s="46"/>
    </row>
    <row r="96" spans="1:5" x14ac:dyDescent="0.25">
      <c r="A96" s="344"/>
      <c r="B96" s="120" t="s">
        <v>38</v>
      </c>
      <c r="C96" s="73"/>
      <c r="D96" s="73"/>
      <c r="E96" s="46"/>
    </row>
    <row r="97" spans="1:5" x14ac:dyDescent="0.25">
      <c r="A97" s="344"/>
      <c r="B97" s="53" t="s">
        <v>247</v>
      </c>
      <c r="C97" s="61"/>
      <c r="D97" s="58">
        <v>0.05</v>
      </c>
      <c r="E97" s="46">
        <f>+E91*D97</f>
        <v>349.96</v>
      </c>
    </row>
    <row r="98" spans="1:5" x14ac:dyDescent="0.25">
      <c r="A98" s="239"/>
      <c r="B98" s="60" t="s">
        <v>39</v>
      </c>
      <c r="C98" s="60"/>
      <c r="D98" s="121">
        <f>SUM(D93:D97)</f>
        <v>8.6499999999999994E-2</v>
      </c>
      <c r="E98" s="46">
        <f>SUM(E93:E97)</f>
        <v>605.41999999999996</v>
      </c>
    </row>
    <row r="99" spans="1:5" x14ac:dyDescent="0.25">
      <c r="A99" s="335" t="s">
        <v>40</v>
      </c>
      <c r="B99" s="336"/>
      <c r="C99" s="336"/>
      <c r="D99" s="336"/>
      <c r="E99" s="54">
        <f>+E88+E89+E98</f>
        <v>1350.85</v>
      </c>
    </row>
    <row r="100" spans="1:5" x14ac:dyDescent="0.25">
      <c r="A100" s="344" t="s">
        <v>41</v>
      </c>
      <c r="B100" s="346"/>
      <c r="C100" s="346"/>
      <c r="D100" s="346"/>
      <c r="E100" s="39" t="s">
        <v>8</v>
      </c>
    </row>
    <row r="101" spans="1:5" x14ac:dyDescent="0.25">
      <c r="A101" s="239" t="s">
        <v>0</v>
      </c>
      <c r="B101" s="314" t="s">
        <v>42</v>
      </c>
      <c r="C101" s="314"/>
      <c r="D101" s="314"/>
      <c r="E101" s="46">
        <f>+E21</f>
        <v>2204.06</v>
      </c>
    </row>
    <row r="102" spans="1:5" x14ac:dyDescent="0.25">
      <c r="A102" s="239" t="s">
        <v>2</v>
      </c>
      <c r="B102" s="314" t="s">
        <v>178</v>
      </c>
      <c r="C102" s="314"/>
      <c r="D102" s="314"/>
      <c r="E102" s="46">
        <f>E49</f>
        <v>2223.5500000000002</v>
      </c>
    </row>
    <row r="103" spans="1:5" x14ac:dyDescent="0.25">
      <c r="A103" s="239" t="s">
        <v>3</v>
      </c>
      <c r="B103" s="314" t="s">
        <v>179</v>
      </c>
      <c r="C103" s="314"/>
      <c r="D103" s="314"/>
      <c r="E103" s="46">
        <f>E57</f>
        <v>158.91</v>
      </c>
    </row>
    <row r="104" spans="1:5" x14ac:dyDescent="0.25">
      <c r="A104" s="239" t="s">
        <v>5</v>
      </c>
      <c r="B104" s="314" t="s">
        <v>180</v>
      </c>
      <c r="C104" s="314"/>
      <c r="D104" s="314"/>
      <c r="E104" s="46">
        <f>E76</f>
        <v>918.51</v>
      </c>
    </row>
    <row r="105" spans="1:5" x14ac:dyDescent="0.25">
      <c r="A105" s="239" t="s">
        <v>17</v>
      </c>
      <c r="B105" s="314" t="s">
        <v>181</v>
      </c>
      <c r="C105" s="314"/>
      <c r="D105" s="314"/>
      <c r="E105" s="46">
        <f>E83</f>
        <v>143.22</v>
      </c>
    </row>
    <row r="106" spans="1:5" ht="15" customHeight="1" x14ac:dyDescent="0.25">
      <c r="A106" s="430" t="s">
        <v>364</v>
      </c>
      <c r="B106" s="360"/>
      <c r="C106" s="360"/>
      <c r="D106" s="361"/>
      <c r="E106" s="46">
        <f>SUM(E101:E105)</f>
        <v>5648.25</v>
      </c>
    </row>
    <row r="107" spans="1:5" x14ac:dyDescent="0.25">
      <c r="A107" s="239" t="s">
        <v>18</v>
      </c>
      <c r="B107" s="314" t="s">
        <v>243</v>
      </c>
      <c r="C107" s="314"/>
      <c r="D107" s="314"/>
      <c r="E107" s="46">
        <f>+E99</f>
        <v>1350.85</v>
      </c>
    </row>
    <row r="108" spans="1:5" x14ac:dyDescent="0.25">
      <c r="A108" s="347" t="s">
        <v>43</v>
      </c>
      <c r="B108" s="348"/>
      <c r="C108" s="348"/>
      <c r="D108" s="348"/>
      <c r="E108" s="54">
        <f>+E106+E107</f>
        <v>6999.1</v>
      </c>
    </row>
    <row r="109" spans="1:5" x14ac:dyDescent="0.25">
      <c r="A109" s="351" t="s">
        <v>251</v>
      </c>
      <c r="B109" s="352"/>
      <c r="C109" s="352"/>
      <c r="D109" s="352"/>
      <c r="E109" s="202">
        <f>E108*2</f>
        <v>13998.2</v>
      </c>
    </row>
    <row r="110" spans="1:5" ht="42.75" customHeight="1" x14ac:dyDescent="0.25">
      <c r="A110" s="539" t="s">
        <v>279</v>
      </c>
      <c r="B110" s="535"/>
      <c r="C110" s="535"/>
      <c r="D110" s="535"/>
      <c r="E110" s="540"/>
    </row>
  </sheetData>
  <mergeCells count="102">
    <mergeCell ref="B107:D107"/>
    <mergeCell ref="A108:D108"/>
    <mergeCell ref="A109:D109"/>
    <mergeCell ref="A110:E110"/>
    <mergeCell ref="A100:D100"/>
    <mergeCell ref="B101:D101"/>
    <mergeCell ref="B102:D102"/>
    <mergeCell ref="B103:D103"/>
    <mergeCell ref="B104:D104"/>
    <mergeCell ref="B105:D105"/>
    <mergeCell ref="A106:D106"/>
    <mergeCell ref="B87:D87"/>
    <mergeCell ref="C88:D88"/>
    <mergeCell ref="C89:D89"/>
    <mergeCell ref="A90:A97"/>
    <mergeCell ref="B90:C90"/>
    <mergeCell ref="A99:D99"/>
    <mergeCell ref="B82:D82"/>
    <mergeCell ref="A83:C83"/>
    <mergeCell ref="A84:B84"/>
    <mergeCell ref="C84:D84"/>
    <mergeCell ref="A85:C85"/>
    <mergeCell ref="A86:E86"/>
    <mergeCell ref="A76:C76"/>
    <mergeCell ref="A77:E77"/>
    <mergeCell ref="B78:D78"/>
    <mergeCell ref="B79:D79"/>
    <mergeCell ref="B80:D80"/>
    <mergeCell ref="B81:D81"/>
    <mergeCell ref="B69:D69"/>
    <mergeCell ref="A71:C71"/>
    <mergeCell ref="A72:D72"/>
    <mergeCell ref="B73:D73"/>
    <mergeCell ref="B74:C74"/>
    <mergeCell ref="B75:C75"/>
    <mergeCell ref="B70:C70"/>
    <mergeCell ref="B63:C63"/>
    <mergeCell ref="B64:C64"/>
    <mergeCell ref="B65:C65"/>
    <mergeCell ref="A66:C66"/>
    <mergeCell ref="A67:D67"/>
    <mergeCell ref="B68:D68"/>
    <mergeCell ref="A57:C57"/>
    <mergeCell ref="A58:E58"/>
    <mergeCell ref="B59:D59"/>
    <mergeCell ref="B60:C60"/>
    <mergeCell ref="B61:C61"/>
    <mergeCell ref="B62:C62"/>
    <mergeCell ref="B51:D51"/>
    <mergeCell ref="B52:C52"/>
    <mergeCell ref="B53:C53"/>
    <mergeCell ref="B54:C54"/>
    <mergeCell ref="B55:C55"/>
    <mergeCell ref="B56:C56"/>
    <mergeCell ref="A45:D45"/>
    <mergeCell ref="B46:D46"/>
    <mergeCell ref="B47:D47"/>
    <mergeCell ref="B48:D48"/>
    <mergeCell ref="A49:C49"/>
    <mergeCell ref="A50:E50"/>
    <mergeCell ref="B39:C39"/>
    <mergeCell ref="B40:C40"/>
    <mergeCell ref="B41:C41"/>
    <mergeCell ref="B42:C42"/>
    <mergeCell ref="B43:C43"/>
    <mergeCell ref="A44:D44"/>
    <mergeCell ref="B33:C33"/>
    <mergeCell ref="B34:C34"/>
    <mergeCell ref="B35:C35"/>
    <mergeCell ref="B36:C36"/>
    <mergeCell ref="A37:C37"/>
    <mergeCell ref="B38:D38"/>
    <mergeCell ref="A27:E27"/>
    <mergeCell ref="B28:D28"/>
    <mergeCell ref="B29:C29"/>
    <mergeCell ref="B30:C30"/>
    <mergeCell ref="B31:C31"/>
    <mergeCell ref="B32:C32"/>
    <mergeCell ref="A21:D21"/>
    <mergeCell ref="A22:E22"/>
    <mergeCell ref="B23:D23"/>
    <mergeCell ref="B24:C24"/>
    <mergeCell ref="B25:C25"/>
    <mergeCell ref="A26:C26"/>
    <mergeCell ref="C16:D16"/>
    <mergeCell ref="C18:D18"/>
    <mergeCell ref="B19:D19"/>
    <mergeCell ref="A7:E7"/>
    <mergeCell ref="A8:E8"/>
    <mergeCell ref="A9:E9"/>
    <mergeCell ref="C10:E10"/>
    <mergeCell ref="B11:D11"/>
    <mergeCell ref="C12:E12"/>
    <mergeCell ref="A1:E1"/>
    <mergeCell ref="A2:E2"/>
    <mergeCell ref="C3:E3"/>
    <mergeCell ref="C4:E4"/>
    <mergeCell ref="C5:E5"/>
    <mergeCell ref="C6:E6"/>
    <mergeCell ref="B13:D13"/>
    <mergeCell ref="A14:E14"/>
    <mergeCell ref="B15:D15"/>
  </mergeCells>
  <hyperlinks>
    <hyperlink ref="B36" r:id="rId1" display="08 - Sebrae 0,3% ou 0,6% - IN nº 03, MPS/SRP/2005, Anexo II e III ver código da Tabela"/>
  </hyperlinks>
  <pageMargins left="0.51181102362204722" right="0.51181102362204722" top="0.78740157480314965" bottom="0.78740157480314965" header="0.31496062992125984" footer="0.31496062992125984"/>
  <pageSetup paperSize="9" scale="69" orientation="portrait" r:id="rId2"/>
  <rowBreaks count="1" manualBreakCount="1">
    <brk id="66" max="4" man="1"/>
  </rowBreaks>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39997558519241921"/>
  </sheetPr>
  <dimension ref="A1:I110"/>
  <sheetViews>
    <sheetView zoomScale="120" zoomScaleNormal="120" workbookViewId="0">
      <selection activeCell="A2" sqref="A2:E2"/>
    </sheetView>
  </sheetViews>
  <sheetFormatPr defaultRowHeight="15" x14ac:dyDescent="0.25"/>
  <cols>
    <col min="1" max="1" width="11.140625" customWidth="1"/>
    <col min="2" max="2" width="43.5703125" customWidth="1"/>
    <col min="3" max="3" width="30.42578125" customWidth="1"/>
    <col min="4" max="4" width="22.140625" customWidth="1"/>
    <col min="5" max="5" width="17" customWidth="1"/>
    <col min="7" max="7" width="13" customWidth="1"/>
    <col min="8" max="8" width="16.42578125" customWidth="1"/>
    <col min="9" max="9" width="14.28515625" customWidth="1"/>
  </cols>
  <sheetData>
    <row r="1" spans="1:5" ht="21" x14ac:dyDescent="0.25">
      <c r="A1" s="532" t="s">
        <v>246</v>
      </c>
      <c r="B1" s="532"/>
      <c r="C1" s="532"/>
      <c r="D1" s="532"/>
      <c r="E1" s="532"/>
    </row>
    <row r="2" spans="1:5" x14ac:dyDescent="0.25">
      <c r="A2" s="533" t="s">
        <v>182</v>
      </c>
      <c r="B2" s="533"/>
      <c r="C2" s="533"/>
      <c r="D2" s="533"/>
      <c r="E2" s="533"/>
    </row>
    <row r="3" spans="1:5" x14ac:dyDescent="0.25">
      <c r="A3" s="138" t="s">
        <v>0</v>
      </c>
      <c r="B3" s="103" t="s">
        <v>1</v>
      </c>
      <c r="C3" s="306" t="s">
        <v>366</v>
      </c>
      <c r="D3" s="306"/>
      <c r="E3" s="307"/>
    </row>
    <row r="4" spans="1:5" x14ac:dyDescent="0.25">
      <c r="A4" s="138" t="s">
        <v>2</v>
      </c>
      <c r="B4" s="103" t="s">
        <v>125</v>
      </c>
      <c r="C4" s="308" t="s">
        <v>182</v>
      </c>
      <c r="D4" s="308"/>
      <c r="E4" s="309"/>
    </row>
    <row r="5" spans="1:5" ht="25.5" x14ac:dyDescent="0.25">
      <c r="A5" s="138" t="s">
        <v>3</v>
      </c>
      <c r="B5" s="103" t="s">
        <v>4</v>
      </c>
      <c r="C5" s="308" t="s">
        <v>340</v>
      </c>
      <c r="D5" s="308"/>
      <c r="E5" s="309"/>
    </row>
    <row r="6" spans="1:5" x14ac:dyDescent="0.25">
      <c r="A6" s="138" t="s">
        <v>5</v>
      </c>
      <c r="B6" s="103" t="s">
        <v>133</v>
      </c>
      <c r="C6" s="308">
        <v>12</v>
      </c>
      <c r="D6" s="308"/>
      <c r="E6" s="308"/>
    </row>
    <row r="7" spans="1:5" x14ac:dyDescent="0.25">
      <c r="A7" s="327" t="s">
        <v>6</v>
      </c>
      <c r="B7" s="327"/>
      <c r="C7" s="327"/>
      <c r="D7" s="327"/>
      <c r="E7" s="327"/>
    </row>
    <row r="8" spans="1:5" x14ac:dyDescent="0.25">
      <c r="A8" s="325" t="s">
        <v>7</v>
      </c>
      <c r="B8" s="325"/>
      <c r="C8" s="325"/>
      <c r="D8" s="325"/>
      <c r="E8" s="325"/>
    </row>
    <row r="9" spans="1:5" x14ac:dyDescent="0.25">
      <c r="A9" s="325" t="s">
        <v>235</v>
      </c>
      <c r="B9" s="327"/>
      <c r="C9" s="327"/>
      <c r="D9" s="327"/>
      <c r="E9" s="327"/>
    </row>
    <row r="10" spans="1:5" ht="25.5" x14ac:dyDescent="0.25">
      <c r="A10" s="138">
        <v>1</v>
      </c>
      <c r="B10" s="40" t="s">
        <v>124</v>
      </c>
      <c r="C10" s="329" t="s">
        <v>337</v>
      </c>
      <c r="D10" s="329"/>
      <c r="E10" s="329"/>
    </row>
    <row r="11" spans="1:5" x14ac:dyDescent="0.25">
      <c r="A11" s="138">
        <v>2</v>
      </c>
      <c r="B11" s="331" t="s">
        <v>9</v>
      </c>
      <c r="C11" s="331"/>
      <c r="D11" s="331"/>
      <c r="E11" s="104">
        <v>1695.43</v>
      </c>
    </row>
    <row r="12" spans="1:5" ht="25.5" x14ac:dyDescent="0.25">
      <c r="A12" s="138">
        <v>3</v>
      </c>
      <c r="B12" s="40" t="s">
        <v>10</v>
      </c>
      <c r="C12" s="329" t="s">
        <v>248</v>
      </c>
      <c r="D12" s="329"/>
      <c r="E12" s="329"/>
    </row>
    <row r="13" spans="1:5" x14ac:dyDescent="0.25">
      <c r="A13" s="138">
        <v>4</v>
      </c>
      <c r="B13" s="310" t="s">
        <v>11</v>
      </c>
      <c r="C13" s="310"/>
      <c r="D13" s="310"/>
      <c r="E13" s="221" t="s">
        <v>341</v>
      </c>
    </row>
    <row r="14" spans="1:5" x14ac:dyDescent="0.25">
      <c r="A14" s="312" t="s">
        <v>12</v>
      </c>
      <c r="B14" s="312"/>
      <c r="C14" s="312"/>
      <c r="D14" s="312"/>
      <c r="E14" s="312"/>
    </row>
    <row r="15" spans="1:5" x14ac:dyDescent="0.25">
      <c r="A15" s="135">
        <v>1</v>
      </c>
      <c r="B15" s="314" t="s">
        <v>13</v>
      </c>
      <c r="C15" s="315"/>
      <c r="D15" s="315"/>
      <c r="E15" s="105" t="s">
        <v>8</v>
      </c>
    </row>
    <row r="16" spans="1:5" x14ac:dyDescent="0.25">
      <c r="A16" s="106" t="s">
        <v>0</v>
      </c>
      <c r="B16" s="49" t="s">
        <v>14</v>
      </c>
      <c r="C16" s="316"/>
      <c r="D16" s="362"/>
      <c r="E16" s="90">
        <f>+E11</f>
        <v>1695.43</v>
      </c>
    </row>
    <row r="17" spans="1:5" x14ac:dyDescent="0.25">
      <c r="A17" s="106" t="s">
        <v>2</v>
      </c>
      <c r="B17" s="52" t="s">
        <v>204</v>
      </c>
      <c r="C17" s="137">
        <v>0</v>
      </c>
      <c r="D17" s="123">
        <v>1412</v>
      </c>
      <c r="E17" s="108">
        <f>D17*C17</f>
        <v>0</v>
      </c>
    </row>
    <row r="18" spans="1:5" ht="17.25" customHeight="1" x14ac:dyDescent="0.25">
      <c r="A18" s="48" t="s">
        <v>3</v>
      </c>
      <c r="B18" s="49" t="s">
        <v>255</v>
      </c>
      <c r="C18" s="139" t="s">
        <v>254</v>
      </c>
      <c r="D18" s="124">
        <v>15.21</v>
      </c>
      <c r="E18" s="108">
        <f>((1.93*8)*D18)</f>
        <v>234.84</v>
      </c>
    </row>
    <row r="19" spans="1:5" ht="14.25" customHeight="1" x14ac:dyDescent="0.25">
      <c r="A19" s="106" t="s">
        <v>123</v>
      </c>
      <c r="B19" s="319" t="s">
        <v>210</v>
      </c>
      <c r="C19" s="320"/>
      <c r="D19" s="363"/>
      <c r="E19" s="109">
        <f>SUM(E16:E18)</f>
        <v>1930.27</v>
      </c>
    </row>
    <row r="20" spans="1:5" ht="19.5" customHeight="1" x14ac:dyDescent="0.25">
      <c r="A20" s="106" t="s">
        <v>5</v>
      </c>
      <c r="B20" s="49" t="s">
        <v>15</v>
      </c>
      <c r="C20" s="110">
        <v>0.3</v>
      </c>
      <c r="D20" s="111">
        <f>E19</f>
        <v>1930.27</v>
      </c>
      <c r="E20" s="108">
        <f>E19*C20</f>
        <v>579.08000000000004</v>
      </c>
    </row>
    <row r="21" spans="1:5" x14ac:dyDescent="0.25">
      <c r="A21" s="336" t="s">
        <v>20</v>
      </c>
      <c r="B21" s="336"/>
      <c r="C21" s="336"/>
      <c r="D21" s="336"/>
      <c r="E21" s="112">
        <f>SUM(E19:E20)</f>
        <v>2509.35</v>
      </c>
    </row>
    <row r="22" spans="1:5" x14ac:dyDescent="0.25">
      <c r="A22" s="312" t="s">
        <v>45</v>
      </c>
      <c r="B22" s="312"/>
      <c r="C22" s="312"/>
      <c r="D22" s="312"/>
      <c r="E22" s="312"/>
    </row>
    <row r="23" spans="1:5" x14ac:dyDescent="0.25">
      <c r="A23" s="135" t="s">
        <v>134</v>
      </c>
      <c r="B23" s="314" t="s">
        <v>135</v>
      </c>
      <c r="C23" s="315"/>
      <c r="D23" s="315"/>
      <c r="E23" s="105" t="s">
        <v>8</v>
      </c>
    </row>
    <row r="24" spans="1:5" x14ac:dyDescent="0.25">
      <c r="A24" s="102" t="s">
        <v>0</v>
      </c>
      <c r="B24" s="337" t="s">
        <v>27</v>
      </c>
      <c r="C24" s="337"/>
      <c r="D24" s="58">
        <f>1/12</f>
        <v>8.3299999999999999E-2</v>
      </c>
      <c r="E24" s="113">
        <f>ROUND(+$E$21*D24,2)</f>
        <v>209.03</v>
      </c>
    </row>
    <row r="25" spans="1:5" x14ac:dyDescent="0.25">
      <c r="A25" s="102" t="s">
        <v>2</v>
      </c>
      <c r="B25" s="337" t="s">
        <v>136</v>
      </c>
      <c r="C25" s="337"/>
      <c r="D25" s="58">
        <v>0.1111</v>
      </c>
      <c r="E25" s="113">
        <f>ROUND(+$E$21*D25,2)</f>
        <v>278.79000000000002</v>
      </c>
    </row>
    <row r="26" spans="1:5" x14ac:dyDescent="0.25">
      <c r="A26" s="336" t="s">
        <v>25</v>
      </c>
      <c r="B26" s="336"/>
      <c r="C26" s="338"/>
      <c r="D26" s="59">
        <f>SUM(D24:D25)</f>
        <v>0.19439999999999999</v>
      </c>
      <c r="E26" s="112">
        <f>SUM(E24:E25)</f>
        <v>487.82</v>
      </c>
    </row>
    <row r="27" spans="1:5" ht="29.25" customHeight="1" x14ac:dyDescent="0.25">
      <c r="A27" s="333" t="s">
        <v>137</v>
      </c>
      <c r="B27" s="333"/>
      <c r="C27" s="333"/>
      <c r="D27" s="333"/>
      <c r="E27" s="333"/>
    </row>
    <row r="28" spans="1:5" x14ac:dyDescent="0.25">
      <c r="A28" s="135" t="s">
        <v>138</v>
      </c>
      <c r="B28" s="314" t="s">
        <v>23</v>
      </c>
      <c r="C28" s="315"/>
      <c r="D28" s="315"/>
      <c r="E28" s="105" t="s">
        <v>8</v>
      </c>
    </row>
    <row r="29" spans="1:5" x14ac:dyDescent="0.25">
      <c r="A29" s="102" t="s">
        <v>0</v>
      </c>
      <c r="B29" s="310" t="s">
        <v>139</v>
      </c>
      <c r="C29" s="310"/>
      <c r="D29" s="58">
        <v>0.2</v>
      </c>
      <c r="E29" s="113">
        <f>(E21+E26)*D29</f>
        <v>599.42999999999995</v>
      </c>
    </row>
    <row r="30" spans="1:5" x14ac:dyDescent="0.25">
      <c r="A30" s="102" t="s">
        <v>2</v>
      </c>
      <c r="B30" s="310" t="s">
        <v>140</v>
      </c>
      <c r="C30" s="310"/>
      <c r="D30" s="58">
        <v>1.4999999999999999E-2</v>
      </c>
      <c r="E30" s="113">
        <f>(E21+E26)*D30</f>
        <v>44.96</v>
      </c>
    </row>
    <row r="31" spans="1:5" x14ac:dyDescent="0.25">
      <c r="A31" s="102" t="s">
        <v>3</v>
      </c>
      <c r="B31" s="310" t="s">
        <v>240</v>
      </c>
      <c r="C31" s="310"/>
      <c r="D31" s="58">
        <v>0.01</v>
      </c>
      <c r="E31" s="113">
        <f>(E21+E26)*D31</f>
        <v>29.97</v>
      </c>
    </row>
    <row r="32" spans="1:5" x14ac:dyDescent="0.25">
      <c r="A32" s="102" t="s">
        <v>5</v>
      </c>
      <c r="B32" s="310" t="s">
        <v>142</v>
      </c>
      <c r="C32" s="310"/>
      <c r="D32" s="58">
        <v>2E-3</v>
      </c>
      <c r="E32" s="113">
        <f>(E21+E26)*D32</f>
        <v>5.99</v>
      </c>
    </row>
    <row r="33" spans="1:9" x14ac:dyDescent="0.25">
      <c r="A33" s="102" t="s">
        <v>17</v>
      </c>
      <c r="B33" s="310" t="s">
        <v>241</v>
      </c>
      <c r="C33" s="310"/>
      <c r="D33" s="58">
        <v>2.5000000000000001E-2</v>
      </c>
      <c r="E33" s="113">
        <f>(E21+E26)*D33</f>
        <v>74.930000000000007</v>
      </c>
    </row>
    <row r="34" spans="1:9" x14ac:dyDescent="0.25">
      <c r="A34" s="102" t="s">
        <v>18</v>
      </c>
      <c r="B34" s="310" t="s">
        <v>144</v>
      </c>
      <c r="C34" s="310"/>
      <c r="D34" s="58">
        <v>0.08</v>
      </c>
      <c r="E34" s="113">
        <f>(E21+E26)*D34</f>
        <v>239.77</v>
      </c>
    </row>
    <row r="35" spans="1:9" x14ac:dyDescent="0.25">
      <c r="A35" s="102" t="s">
        <v>19</v>
      </c>
      <c r="B35" s="310" t="s">
        <v>145</v>
      </c>
      <c r="C35" s="310"/>
      <c r="D35" s="58">
        <v>0.06</v>
      </c>
      <c r="E35" s="113">
        <f>(E21+E26)*D35</f>
        <v>179.83</v>
      </c>
    </row>
    <row r="36" spans="1:9" x14ac:dyDescent="0.25">
      <c r="A36" s="114" t="s">
        <v>24</v>
      </c>
      <c r="B36" s="339" t="s">
        <v>146</v>
      </c>
      <c r="C36" s="339"/>
      <c r="D36" s="66">
        <v>6.0000000000000001E-3</v>
      </c>
      <c r="E36" s="115">
        <f>(E21+E26)*D36</f>
        <v>17.98</v>
      </c>
    </row>
    <row r="37" spans="1:9" x14ac:dyDescent="0.25">
      <c r="A37" s="336" t="s">
        <v>25</v>
      </c>
      <c r="B37" s="336"/>
      <c r="C37" s="338"/>
      <c r="D37" s="59">
        <f>SUM(D29:D36)</f>
        <v>0.39800000000000002</v>
      </c>
      <c r="E37" s="112">
        <f>SUM(E29:E36)</f>
        <v>1192.8599999999999</v>
      </c>
    </row>
    <row r="38" spans="1:9" x14ac:dyDescent="0.25">
      <c r="A38" s="135" t="s">
        <v>147</v>
      </c>
      <c r="B38" s="314" t="s">
        <v>148</v>
      </c>
      <c r="C38" s="315"/>
      <c r="D38" s="315"/>
      <c r="E38" s="105" t="s">
        <v>8</v>
      </c>
      <c r="I38" s="126"/>
    </row>
    <row r="39" spans="1:9" ht="15" customHeight="1" x14ac:dyDescent="0.25">
      <c r="A39" s="102" t="s">
        <v>0</v>
      </c>
      <c r="B39" s="337" t="s">
        <v>342</v>
      </c>
      <c r="C39" s="337"/>
      <c r="D39" s="98">
        <v>6</v>
      </c>
      <c r="E39" s="88">
        <f>(D39*30.42)-(E16*0.06)</f>
        <v>80.790000000000006</v>
      </c>
      <c r="I39" s="126"/>
    </row>
    <row r="40" spans="1:9" ht="24" customHeight="1" x14ac:dyDescent="0.25">
      <c r="A40" s="102" t="s">
        <v>2</v>
      </c>
      <c r="B40" s="337" t="s">
        <v>343</v>
      </c>
      <c r="C40" s="337"/>
      <c r="D40" s="89">
        <v>41</v>
      </c>
      <c r="E40" s="90">
        <f>(D40*15.21)-(D40*15.21*1%)</f>
        <v>617.37</v>
      </c>
      <c r="G40" s="126"/>
      <c r="I40" s="126"/>
    </row>
    <row r="41" spans="1:9" ht="15" customHeight="1" x14ac:dyDescent="0.25">
      <c r="A41" s="102" t="s">
        <v>3</v>
      </c>
      <c r="B41" s="337" t="s">
        <v>344</v>
      </c>
      <c r="C41" s="337"/>
      <c r="D41" s="92"/>
      <c r="E41" s="90">
        <f>((E11*16%) -(E11*1%))/12</f>
        <v>21.19</v>
      </c>
      <c r="G41" s="127"/>
    </row>
    <row r="42" spans="1:9" ht="15" customHeight="1" x14ac:dyDescent="0.25">
      <c r="A42" s="102" t="s">
        <v>5</v>
      </c>
      <c r="B42" s="337" t="s">
        <v>345</v>
      </c>
      <c r="C42" s="337"/>
      <c r="D42" s="85">
        <v>14.16</v>
      </c>
      <c r="E42" s="88">
        <f>D42</f>
        <v>14.16</v>
      </c>
      <c r="G42" s="126"/>
    </row>
    <row r="43" spans="1:9" ht="15" customHeight="1" x14ac:dyDescent="0.25">
      <c r="A43" s="102" t="s">
        <v>17</v>
      </c>
      <c r="B43" s="337" t="s">
        <v>346</v>
      </c>
      <c r="C43" s="337"/>
      <c r="D43" s="85"/>
      <c r="E43" s="88">
        <f>(((E16+E20)*26+((E16)*5))/1000*0.21)</f>
        <v>14.2</v>
      </c>
    </row>
    <row r="44" spans="1:9" ht="15.6" customHeight="1" x14ac:dyDescent="0.25">
      <c r="A44" s="336" t="s">
        <v>21</v>
      </c>
      <c r="B44" s="336"/>
      <c r="C44" s="336"/>
      <c r="D44" s="336"/>
      <c r="E44" s="112">
        <f>SUM(E39:E43)</f>
        <v>747.71</v>
      </c>
      <c r="G44" s="126"/>
    </row>
    <row r="45" spans="1:9" x14ac:dyDescent="0.25">
      <c r="A45" s="312" t="s">
        <v>150</v>
      </c>
      <c r="B45" s="312"/>
      <c r="C45" s="312"/>
      <c r="D45" s="312"/>
      <c r="E45" s="113"/>
    </row>
    <row r="46" spans="1:9" x14ac:dyDescent="0.25">
      <c r="A46" s="135" t="s">
        <v>134</v>
      </c>
      <c r="B46" s="314" t="s">
        <v>151</v>
      </c>
      <c r="C46" s="315"/>
      <c r="D46" s="315"/>
      <c r="E46" s="116">
        <f>E26</f>
        <v>487.82</v>
      </c>
    </row>
    <row r="47" spans="1:9" x14ac:dyDescent="0.25">
      <c r="A47" s="135" t="s">
        <v>138</v>
      </c>
      <c r="B47" s="337" t="s">
        <v>152</v>
      </c>
      <c r="C47" s="337"/>
      <c r="D47" s="337"/>
      <c r="E47" s="113">
        <f>E37</f>
        <v>1192.8599999999999</v>
      </c>
    </row>
    <row r="48" spans="1:9" x14ac:dyDescent="0.25">
      <c r="A48" s="135" t="s">
        <v>147</v>
      </c>
      <c r="B48" s="337" t="s">
        <v>153</v>
      </c>
      <c r="C48" s="337"/>
      <c r="D48" s="337"/>
      <c r="E48" s="113">
        <f>E44</f>
        <v>747.71</v>
      </c>
    </row>
    <row r="49" spans="1:6" x14ac:dyDescent="0.25">
      <c r="A49" s="336" t="s">
        <v>25</v>
      </c>
      <c r="B49" s="336"/>
      <c r="C49" s="338"/>
      <c r="D49" s="68" t="s">
        <v>123</v>
      </c>
      <c r="E49" s="112">
        <f>SUM(E46:E48)</f>
        <v>2428.39</v>
      </c>
    </row>
    <row r="50" spans="1:6" x14ac:dyDescent="0.25">
      <c r="A50" s="312" t="s">
        <v>154</v>
      </c>
      <c r="B50" s="312"/>
      <c r="C50" s="312"/>
      <c r="D50" s="312"/>
      <c r="E50" s="312"/>
    </row>
    <row r="51" spans="1:6" x14ac:dyDescent="0.25">
      <c r="A51" s="135" t="s">
        <v>155</v>
      </c>
      <c r="B51" s="314" t="s">
        <v>28</v>
      </c>
      <c r="C51" s="315"/>
      <c r="D51" s="315"/>
      <c r="E51" s="105" t="s">
        <v>8</v>
      </c>
    </row>
    <row r="52" spans="1:6" x14ac:dyDescent="0.25">
      <c r="A52" s="102" t="s">
        <v>0</v>
      </c>
      <c r="B52" s="337" t="s">
        <v>156</v>
      </c>
      <c r="C52" s="337"/>
      <c r="D52" s="58">
        <v>4.5999999999999999E-3</v>
      </c>
      <c r="E52" s="113">
        <f t="shared" ref="E52:E55" si="0">ROUND(+D52*$E$21,2)</f>
        <v>11.54</v>
      </c>
    </row>
    <row r="53" spans="1:6" x14ac:dyDescent="0.25">
      <c r="A53" s="102" t="s">
        <v>2</v>
      </c>
      <c r="B53" s="337" t="s">
        <v>157</v>
      </c>
      <c r="C53" s="337"/>
      <c r="D53" s="58">
        <f>D34*D52</f>
        <v>4.0000000000000002E-4</v>
      </c>
      <c r="E53" s="113">
        <f t="shared" si="0"/>
        <v>1</v>
      </c>
    </row>
    <row r="54" spans="1:6" x14ac:dyDescent="0.25">
      <c r="A54" s="102" t="s">
        <v>3</v>
      </c>
      <c r="B54" s="310" t="s">
        <v>29</v>
      </c>
      <c r="C54" s="310"/>
      <c r="D54" s="58">
        <v>1.9400000000000001E-2</v>
      </c>
      <c r="E54" s="113">
        <f t="shared" si="0"/>
        <v>48.68</v>
      </c>
    </row>
    <row r="55" spans="1:6" x14ac:dyDescent="0.25">
      <c r="A55" s="102" t="s">
        <v>5</v>
      </c>
      <c r="B55" s="337" t="s">
        <v>158</v>
      </c>
      <c r="C55" s="337"/>
      <c r="D55" s="58">
        <f>D37*D54</f>
        <v>7.7000000000000002E-3</v>
      </c>
      <c r="E55" s="113">
        <f t="shared" si="0"/>
        <v>19.32</v>
      </c>
    </row>
    <row r="56" spans="1:6" ht="33" customHeight="1" x14ac:dyDescent="0.25">
      <c r="A56" s="102" t="s">
        <v>17</v>
      </c>
      <c r="B56" s="337" t="s">
        <v>211</v>
      </c>
      <c r="C56" s="337"/>
      <c r="D56" s="58">
        <f>4%</f>
        <v>0.04</v>
      </c>
      <c r="E56" s="113">
        <f>ROUND(+D56*$E$21,2)</f>
        <v>100.37</v>
      </c>
    </row>
    <row r="57" spans="1:6" x14ac:dyDescent="0.25">
      <c r="A57" s="336" t="s">
        <v>25</v>
      </c>
      <c r="B57" s="336"/>
      <c r="C57" s="336"/>
      <c r="D57" s="70">
        <f>SUM(D52:D56)</f>
        <v>7.2099999999999997E-2</v>
      </c>
      <c r="E57" s="112">
        <f>SUM(E52:E56)</f>
        <v>180.91</v>
      </c>
    </row>
    <row r="58" spans="1:6" x14ac:dyDescent="0.25">
      <c r="A58" s="312" t="s">
        <v>159</v>
      </c>
      <c r="B58" s="312"/>
      <c r="C58" s="312"/>
      <c r="D58" s="312"/>
      <c r="E58" s="312"/>
    </row>
    <row r="59" spans="1:6" x14ac:dyDescent="0.25">
      <c r="A59" s="135" t="s">
        <v>22</v>
      </c>
      <c r="B59" s="312" t="s">
        <v>160</v>
      </c>
      <c r="C59" s="312"/>
      <c r="D59" s="312"/>
      <c r="E59" s="105" t="s">
        <v>8</v>
      </c>
    </row>
    <row r="60" spans="1:6" x14ac:dyDescent="0.25">
      <c r="A60" s="102" t="s">
        <v>0</v>
      </c>
      <c r="B60" s="337" t="s">
        <v>161</v>
      </c>
      <c r="C60" s="337"/>
      <c r="D60" s="58">
        <f>((1+1/3)/12)/12</f>
        <v>9.2999999999999992E-3</v>
      </c>
      <c r="E60" s="113">
        <f>(E21+E49+E57+E79)*D60</f>
        <v>48.24</v>
      </c>
    </row>
    <row r="61" spans="1:6" x14ac:dyDescent="0.25">
      <c r="A61" s="102" t="s">
        <v>2</v>
      </c>
      <c r="B61" s="337" t="s">
        <v>162</v>
      </c>
      <c r="C61" s="337"/>
      <c r="D61" s="58">
        <v>1.66E-2</v>
      </c>
      <c r="E61" s="113">
        <f>(E21+E49+E57+E79)*D61</f>
        <v>86.1</v>
      </c>
      <c r="F61" t="s">
        <v>222</v>
      </c>
    </row>
    <row r="62" spans="1:6" x14ac:dyDescent="0.25">
      <c r="A62" s="102" t="s">
        <v>3</v>
      </c>
      <c r="B62" s="337" t="s">
        <v>163</v>
      </c>
      <c r="C62" s="337"/>
      <c r="D62" s="58">
        <f>(5/30)*(1/12)*6.24%*95.04%</f>
        <v>8.0000000000000004E-4</v>
      </c>
      <c r="E62" s="113">
        <f>(E21+E49+E57+E79)*D62</f>
        <v>4.1500000000000004</v>
      </c>
      <c r="F62" t="s">
        <v>223</v>
      </c>
    </row>
    <row r="63" spans="1:6" x14ac:dyDescent="0.25">
      <c r="A63" s="102" t="s">
        <v>5</v>
      </c>
      <c r="B63" s="337" t="s">
        <v>164</v>
      </c>
      <c r="C63" s="337"/>
      <c r="D63" s="58">
        <f>(1/30)*(1/12)</f>
        <v>2.8E-3</v>
      </c>
      <c r="E63" s="113">
        <f>(E21+E49+E57+E79)*D63</f>
        <v>14.52</v>
      </c>
      <c r="F63" t="s">
        <v>224</v>
      </c>
    </row>
    <row r="64" spans="1:6" x14ac:dyDescent="0.25">
      <c r="A64" s="102" t="s">
        <v>17</v>
      </c>
      <c r="B64" s="337" t="s">
        <v>165</v>
      </c>
      <c r="C64" s="337"/>
      <c r="D64" s="58">
        <f>(0.91/30)*(1/12)</f>
        <v>2.5000000000000001E-3</v>
      </c>
      <c r="E64" s="113">
        <f>(E21+E49+E57+E79)*D64</f>
        <v>12.97</v>
      </c>
      <c r="F64" t="s">
        <v>225</v>
      </c>
    </row>
    <row r="65" spans="1:7" x14ac:dyDescent="0.25">
      <c r="A65" s="102" t="s">
        <v>18</v>
      </c>
      <c r="B65" s="340" t="s">
        <v>244</v>
      </c>
      <c r="C65" s="340"/>
      <c r="D65" s="117">
        <f>(7/30)*(1/24)</f>
        <v>9.7000000000000003E-3</v>
      </c>
      <c r="E65" s="113">
        <f>(E21+E49+E57+E79)*D65</f>
        <v>50.31</v>
      </c>
      <c r="F65" s="94" t="s">
        <v>226</v>
      </c>
    </row>
    <row r="66" spans="1:7" x14ac:dyDescent="0.25">
      <c r="A66" s="336" t="s">
        <v>166</v>
      </c>
      <c r="B66" s="336"/>
      <c r="C66" s="336"/>
      <c r="D66" s="70">
        <f>SUM(D60:D65)</f>
        <v>4.1700000000000001E-2</v>
      </c>
      <c r="E66" s="112">
        <f>SUM(E60:E65)</f>
        <v>216.29</v>
      </c>
    </row>
    <row r="67" spans="1:7" x14ac:dyDescent="0.25">
      <c r="A67" s="312"/>
      <c r="B67" s="312"/>
      <c r="C67" s="312"/>
      <c r="D67" s="312"/>
      <c r="E67" s="113"/>
    </row>
    <row r="68" spans="1:7" x14ac:dyDescent="0.25">
      <c r="A68" s="135" t="s">
        <v>123</v>
      </c>
      <c r="B68" s="314" t="s">
        <v>167</v>
      </c>
      <c r="C68" s="315"/>
      <c r="D68" s="315"/>
      <c r="E68" s="105" t="s">
        <v>8</v>
      </c>
    </row>
    <row r="69" spans="1:7" x14ac:dyDescent="0.25">
      <c r="A69" s="102" t="s">
        <v>0</v>
      </c>
      <c r="B69" s="337" t="s">
        <v>357</v>
      </c>
      <c r="C69" s="337"/>
      <c r="D69" s="337"/>
      <c r="E69" s="113">
        <f>' VIG.NOTURNO HORISTA '!E93</f>
        <v>807.37</v>
      </c>
      <c r="G69" s="87"/>
    </row>
    <row r="70" spans="1:7" ht="12" customHeight="1" x14ac:dyDescent="0.25">
      <c r="A70" s="56" t="s">
        <v>2</v>
      </c>
      <c r="B70" s="341"/>
      <c r="C70" s="342"/>
      <c r="D70" s="219"/>
      <c r="E70" s="46"/>
      <c r="G70" s="87"/>
    </row>
    <row r="71" spans="1:7" x14ac:dyDescent="0.25">
      <c r="A71" s="336" t="s">
        <v>25</v>
      </c>
      <c r="B71" s="336"/>
      <c r="C71" s="336"/>
      <c r="D71" s="59"/>
      <c r="E71" s="112">
        <f>SUM(E69:E70)</f>
        <v>807.37</v>
      </c>
    </row>
    <row r="72" spans="1:7" x14ac:dyDescent="0.25">
      <c r="A72" s="312" t="s">
        <v>169</v>
      </c>
      <c r="B72" s="312"/>
      <c r="C72" s="312"/>
      <c r="D72" s="312"/>
      <c r="E72" s="113"/>
    </row>
    <row r="73" spans="1:7" x14ac:dyDescent="0.25">
      <c r="A73" s="135">
        <v>4</v>
      </c>
      <c r="B73" s="314" t="s">
        <v>30</v>
      </c>
      <c r="C73" s="315"/>
      <c r="D73" s="315"/>
      <c r="E73" s="105" t="s">
        <v>8</v>
      </c>
    </row>
    <row r="74" spans="1:7" x14ac:dyDescent="0.25">
      <c r="A74" s="102" t="s">
        <v>22</v>
      </c>
      <c r="B74" s="337" t="s">
        <v>160</v>
      </c>
      <c r="C74" s="337"/>
      <c r="D74" s="58">
        <f>D66</f>
        <v>4.1700000000000001E-2</v>
      </c>
      <c r="E74" s="113">
        <f>E66</f>
        <v>216.29</v>
      </c>
    </row>
    <row r="75" spans="1:7" x14ac:dyDescent="0.25">
      <c r="A75" s="102" t="s">
        <v>26</v>
      </c>
      <c r="B75" s="337" t="s">
        <v>167</v>
      </c>
      <c r="C75" s="337"/>
      <c r="D75" s="58"/>
      <c r="E75" s="113">
        <f>E71</f>
        <v>807.37</v>
      </c>
    </row>
    <row r="76" spans="1:7" x14ac:dyDescent="0.25">
      <c r="A76" s="336" t="s">
        <v>170</v>
      </c>
      <c r="B76" s="336"/>
      <c r="C76" s="336"/>
      <c r="D76" s="70">
        <f>SUM(D71:D75)</f>
        <v>4.1700000000000001E-2</v>
      </c>
      <c r="E76" s="112">
        <f>SUM(E74+E75)</f>
        <v>1023.66</v>
      </c>
    </row>
    <row r="77" spans="1:7" x14ac:dyDescent="0.25">
      <c r="A77" s="312" t="s">
        <v>171</v>
      </c>
      <c r="B77" s="312"/>
      <c r="C77" s="312"/>
      <c r="D77" s="312"/>
      <c r="E77" s="312"/>
    </row>
    <row r="78" spans="1:7" x14ac:dyDescent="0.25">
      <c r="A78" s="135">
        <v>5</v>
      </c>
      <c r="B78" s="314" t="s">
        <v>172</v>
      </c>
      <c r="C78" s="315"/>
      <c r="D78" s="315"/>
      <c r="E78" s="105" t="s">
        <v>8</v>
      </c>
    </row>
    <row r="79" spans="1:7" x14ac:dyDescent="0.25">
      <c r="A79" s="102" t="s">
        <v>0</v>
      </c>
      <c r="B79" s="337" t="s">
        <v>173</v>
      </c>
      <c r="C79" s="337"/>
      <c r="D79" s="337"/>
      <c r="E79" s="113">
        <f>'Mat. Unif.LOTE II a VII'!I13</f>
        <v>68.239999999999995</v>
      </c>
    </row>
    <row r="80" spans="1:7" x14ac:dyDescent="0.25">
      <c r="A80" s="102" t="s">
        <v>2</v>
      </c>
      <c r="B80" s="337" t="s">
        <v>174</v>
      </c>
      <c r="C80" s="337"/>
      <c r="D80" s="337"/>
      <c r="E80" s="113">
        <f>'Mat. Unif.LOTE II a VII'!I22</f>
        <v>2.06</v>
      </c>
    </row>
    <row r="81" spans="1:5" x14ac:dyDescent="0.25">
      <c r="A81" s="102" t="s">
        <v>3</v>
      </c>
      <c r="B81" s="337" t="s">
        <v>175</v>
      </c>
      <c r="C81" s="337"/>
      <c r="D81" s="337"/>
      <c r="E81" s="113">
        <f>'Mat. Unif.LOTE II a VII'!I37</f>
        <v>39.049999999999997</v>
      </c>
    </row>
    <row r="82" spans="1:5" x14ac:dyDescent="0.25">
      <c r="A82" s="102" t="s">
        <v>5</v>
      </c>
      <c r="B82" s="337" t="s">
        <v>253</v>
      </c>
      <c r="C82" s="337"/>
      <c r="D82" s="337"/>
      <c r="E82" s="46">
        <v>33.869999999999997</v>
      </c>
    </row>
    <row r="83" spans="1:5" x14ac:dyDescent="0.25">
      <c r="A83" s="336" t="s">
        <v>176</v>
      </c>
      <c r="B83" s="336"/>
      <c r="C83" s="336"/>
      <c r="D83" s="70" t="s">
        <v>123</v>
      </c>
      <c r="E83" s="112">
        <f>SUM(E79:E82)</f>
        <v>143.22</v>
      </c>
    </row>
    <row r="84" spans="1:5" x14ac:dyDescent="0.25">
      <c r="A84" s="346" t="s">
        <v>31</v>
      </c>
      <c r="B84" s="346"/>
      <c r="C84" s="346" t="s">
        <v>25</v>
      </c>
      <c r="D84" s="346"/>
      <c r="E84" s="113">
        <f>SUM(E21+E49+E57+E76+E83)</f>
        <v>6285.53</v>
      </c>
    </row>
    <row r="85" spans="1:5" ht="30.75" customHeight="1" x14ac:dyDescent="0.25">
      <c r="A85" s="348" t="s">
        <v>242</v>
      </c>
      <c r="B85" s="348"/>
      <c r="C85" s="348"/>
      <c r="D85" s="118"/>
      <c r="E85" s="112">
        <f>E84</f>
        <v>6285.53</v>
      </c>
    </row>
    <row r="86" spans="1:5" x14ac:dyDescent="0.25">
      <c r="A86" s="312" t="s">
        <v>177</v>
      </c>
      <c r="B86" s="312"/>
      <c r="C86" s="312"/>
      <c r="D86" s="312"/>
      <c r="E86" s="312"/>
    </row>
    <row r="87" spans="1:5" x14ac:dyDescent="0.25">
      <c r="A87" s="135">
        <v>6</v>
      </c>
      <c r="B87" s="314" t="s">
        <v>32</v>
      </c>
      <c r="C87" s="315"/>
      <c r="D87" s="315"/>
      <c r="E87" s="105" t="s">
        <v>8</v>
      </c>
    </row>
    <row r="88" spans="1:5" x14ac:dyDescent="0.25">
      <c r="A88" s="135" t="s">
        <v>0</v>
      </c>
      <c r="B88" s="136" t="s">
        <v>33</v>
      </c>
      <c r="C88" s="343">
        <v>0.06</v>
      </c>
      <c r="D88" s="343"/>
      <c r="E88" s="113">
        <f>+E85*C88</f>
        <v>377.13</v>
      </c>
    </row>
    <row r="89" spans="1:5" x14ac:dyDescent="0.25">
      <c r="A89" s="135" t="s">
        <v>2</v>
      </c>
      <c r="B89" s="136" t="s">
        <v>34</v>
      </c>
      <c r="C89" s="343">
        <v>6.7900000000000002E-2</v>
      </c>
      <c r="D89" s="343"/>
      <c r="E89" s="113">
        <f>C89*(+E85+E88)</f>
        <v>452.39</v>
      </c>
    </row>
    <row r="90" spans="1:5" ht="36" customHeight="1" x14ac:dyDescent="0.25">
      <c r="A90" s="346" t="s">
        <v>3</v>
      </c>
      <c r="B90" s="345" t="s">
        <v>44</v>
      </c>
      <c r="C90" s="345"/>
      <c r="D90" s="71">
        <f>+(100-8.65)/100</f>
        <v>0.91349999999999998</v>
      </c>
      <c r="E90" s="113">
        <f>+E85+E88+E89</f>
        <v>7115.05</v>
      </c>
    </row>
    <row r="91" spans="1:5" x14ac:dyDescent="0.25">
      <c r="A91" s="346"/>
      <c r="B91" s="134" t="s">
        <v>35</v>
      </c>
      <c r="C91" s="60"/>
      <c r="D91" s="60"/>
      <c r="E91" s="119">
        <f>+E90/D90</f>
        <v>7788.78</v>
      </c>
    </row>
    <row r="92" spans="1:5" x14ac:dyDescent="0.25">
      <c r="A92" s="346"/>
      <c r="B92" s="134" t="s">
        <v>36</v>
      </c>
      <c r="C92" s="134"/>
      <c r="D92" s="134"/>
      <c r="E92" s="113"/>
    </row>
    <row r="93" spans="1:5" x14ac:dyDescent="0.25">
      <c r="A93" s="346"/>
      <c r="B93" s="53" t="s">
        <v>208</v>
      </c>
      <c r="C93" s="61"/>
      <c r="D93" s="58">
        <v>6.4999999999999997E-3</v>
      </c>
      <c r="E93" s="113">
        <f>+E91*D93</f>
        <v>50.63</v>
      </c>
    </row>
    <row r="94" spans="1:5" x14ac:dyDescent="0.25">
      <c r="A94" s="346"/>
      <c r="B94" s="53" t="s">
        <v>209</v>
      </c>
      <c r="C94" s="61"/>
      <c r="D94" s="58">
        <v>0.03</v>
      </c>
      <c r="E94" s="113">
        <f>+E91*D94</f>
        <v>233.66</v>
      </c>
    </row>
    <row r="95" spans="1:5" x14ac:dyDescent="0.25">
      <c r="A95" s="346"/>
      <c r="B95" s="120" t="s">
        <v>37</v>
      </c>
      <c r="C95" s="73"/>
      <c r="D95" s="60"/>
      <c r="E95" s="113"/>
    </row>
    <row r="96" spans="1:5" x14ac:dyDescent="0.25">
      <c r="A96" s="346"/>
      <c r="B96" s="120" t="s">
        <v>38</v>
      </c>
      <c r="C96" s="73"/>
      <c r="D96" s="73"/>
      <c r="E96" s="113"/>
    </row>
    <row r="97" spans="1:5" x14ac:dyDescent="0.25">
      <c r="A97" s="346"/>
      <c r="B97" s="53" t="s">
        <v>247</v>
      </c>
      <c r="C97" s="61"/>
      <c r="D97" s="58">
        <v>0.05</v>
      </c>
      <c r="E97" s="113">
        <f>+E91*D97</f>
        <v>389.44</v>
      </c>
    </row>
    <row r="98" spans="1:5" x14ac:dyDescent="0.25">
      <c r="A98" s="135"/>
      <c r="B98" s="60" t="s">
        <v>39</v>
      </c>
      <c r="C98" s="60"/>
      <c r="D98" s="121">
        <f>SUM(D93:D97)</f>
        <v>8.6499999999999994E-2</v>
      </c>
      <c r="E98" s="113">
        <f>SUM(E93:E97)</f>
        <v>673.73</v>
      </c>
    </row>
    <row r="99" spans="1:5" x14ac:dyDescent="0.25">
      <c r="A99" s="336" t="s">
        <v>40</v>
      </c>
      <c r="B99" s="336"/>
      <c r="C99" s="336"/>
      <c r="D99" s="336"/>
      <c r="E99" s="112">
        <f>+E88+E89+E98</f>
        <v>1503.25</v>
      </c>
    </row>
    <row r="100" spans="1:5" x14ac:dyDescent="0.25">
      <c r="A100" s="346" t="s">
        <v>41</v>
      </c>
      <c r="B100" s="346"/>
      <c r="C100" s="346"/>
      <c r="D100" s="346"/>
      <c r="E100" s="105" t="s">
        <v>8</v>
      </c>
    </row>
    <row r="101" spans="1:5" x14ac:dyDescent="0.25">
      <c r="A101" s="135" t="s">
        <v>0</v>
      </c>
      <c r="B101" s="314" t="s">
        <v>42</v>
      </c>
      <c r="C101" s="314"/>
      <c r="D101" s="314"/>
      <c r="E101" s="113">
        <f>+E21</f>
        <v>2509.35</v>
      </c>
    </row>
    <row r="102" spans="1:5" x14ac:dyDescent="0.25">
      <c r="A102" s="135" t="s">
        <v>2</v>
      </c>
      <c r="B102" s="314" t="s">
        <v>178</v>
      </c>
      <c r="C102" s="314"/>
      <c r="D102" s="314"/>
      <c r="E102" s="113">
        <f>E49</f>
        <v>2428.39</v>
      </c>
    </row>
    <row r="103" spans="1:5" x14ac:dyDescent="0.25">
      <c r="A103" s="135" t="s">
        <v>3</v>
      </c>
      <c r="B103" s="314" t="s">
        <v>179</v>
      </c>
      <c r="C103" s="314"/>
      <c r="D103" s="314"/>
      <c r="E103" s="113">
        <f>E57</f>
        <v>180.91</v>
      </c>
    </row>
    <row r="104" spans="1:5" x14ac:dyDescent="0.25">
      <c r="A104" s="135" t="s">
        <v>5</v>
      </c>
      <c r="B104" s="314" t="s">
        <v>180</v>
      </c>
      <c r="C104" s="314"/>
      <c r="D104" s="314"/>
      <c r="E104" s="113">
        <f>E76</f>
        <v>1023.66</v>
      </c>
    </row>
    <row r="105" spans="1:5" x14ac:dyDescent="0.25">
      <c r="A105" s="135" t="s">
        <v>17</v>
      </c>
      <c r="B105" s="314" t="s">
        <v>181</v>
      </c>
      <c r="C105" s="314"/>
      <c r="D105" s="314"/>
      <c r="E105" s="113">
        <f>E83</f>
        <v>143.22</v>
      </c>
    </row>
    <row r="106" spans="1:5" ht="15" customHeight="1" x14ac:dyDescent="0.25">
      <c r="A106" s="359" t="s">
        <v>364</v>
      </c>
      <c r="B106" s="360"/>
      <c r="C106" s="360"/>
      <c r="D106" s="361"/>
      <c r="E106" s="113">
        <f>SUM(E101:E105)</f>
        <v>6285.53</v>
      </c>
    </row>
    <row r="107" spans="1:5" x14ac:dyDescent="0.25">
      <c r="A107" s="135" t="s">
        <v>18</v>
      </c>
      <c r="B107" s="314" t="s">
        <v>243</v>
      </c>
      <c r="C107" s="314"/>
      <c r="D107" s="314"/>
      <c r="E107" s="113">
        <f>+E99</f>
        <v>1503.25</v>
      </c>
    </row>
    <row r="108" spans="1:5" x14ac:dyDescent="0.25">
      <c r="A108" s="348" t="s">
        <v>43</v>
      </c>
      <c r="B108" s="348"/>
      <c r="C108" s="348"/>
      <c r="D108" s="348"/>
      <c r="E108" s="112">
        <f>+E106+E107</f>
        <v>7788.78</v>
      </c>
    </row>
    <row r="109" spans="1:5" x14ac:dyDescent="0.25">
      <c r="A109" s="352" t="s">
        <v>256</v>
      </c>
      <c r="B109" s="352"/>
      <c r="C109" s="352"/>
      <c r="D109" s="352"/>
      <c r="E109" s="122">
        <f>E108*2</f>
        <v>15577.56</v>
      </c>
    </row>
    <row r="110" spans="1:5" ht="39" customHeight="1" x14ac:dyDescent="0.25">
      <c r="A110" s="534" t="s">
        <v>326</v>
      </c>
      <c r="B110" s="535"/>
      <c r="C110" s="535"/>
      <c r="D110" s="535"/>
      <c r="E110" s="536"/>
    </row>
  </sheetData>
  <mergeCells count="101">
    <mergeCell ref="B82:D82"/>
    <mergeCell ref="A100:D100"/>
    <mergeCell ref="A83:C83"/>
    <mergeCell ref="A84:B84"/>
    <mergeCell ref="C84:D84"/>
    <mergeCell ref="A85:C85"/>
    <mergeCell ref="A86:E86"/>
    <mergeCell ref="B87:D87"/>
    <mergeCell ref="C88:D88"/>
    <mergeCell ref="C89:D89"/>
    <mergeCell ref="A90:A97"/>
    <mergeCell ref="B90:C90"/>
    <mergeCell ref="A99:D99"/>
    <mergeCell ref="B107:D107"/>
    <mergeCell ref="A108:D108"/>
    <mergeCell ref="A109:D109"/>
    <mergeCell ref="A110:E110"/>
    <mergeCell ref="B101:D101"/>
    <mergeCell ref="B102:D102"/>
    <mergeCell ref="B103:D103"/>
    <mergeCell ref="B104:D104"/>
    <mergeCell ref="B105:D105"/>
    <mergeCell ref="A106:D106"/>
    <mergeCell ref="B80:D80"/>
    <mergeCell ref="B81:D81"/>
    <mergeCell ref="B69:D69"/>
    <mergeCell ref="A58:E58"/>
    <mergeCell ref="B59:D59"/>
    <mergeCell ref="B60:C60"/>
    <mergeCell ref="B61:C61"/>
    <mergeCell ref="B62:C62"/>
    <mergeCell ref="B63:C63"/>
    <mergeCell ref="B64:C64"/>
    <mergeCell ref="B65:C65"/>
    <mergeCell ref="A66:C66"/>
    <mergeCell ref="A67:D67"/>
    <mergeCell ref="B68:D68"/>
    <mergeCell ref="A71:C71"/>
    <mergeCell ref="A72:D72"/>
    <mergeCell ref="B73:D73"/>
    <mergeCell ref="B74:C74"/>
    <mergeCell ref="B75:C75"/>
    <mergeCell ref="A76:C76"/>
    <mergeCell ref="A77:E77"/>
    <mergeCell ref="B78:D78"/>
    <mergeCell ref="B79:D79"/>
    <mergeCell ref="B70:C70"/>
    <mergeCell ref="A57:C57"/>
    <mergeCell ref="B46:D46"/>
    <mergeCell ref="B47:D47"/>
    <mergeCell ref="B48:D48"/>
    <mergeCell ref="A49:C49"/>
    <mergeCell ref="A50:E50"/>
    <mergeCell ref="B51:D51"/>
    <mergeCell ref="B52:C52"/>
    <mergeCell ref="B53:C53"/>
    <mergeCell ref="B54:C54"/>
    <mergeCell ref="B55:C55"/>
    <mergeCell ref="B56:C56"/>
    <mergeCell ref="A45:D45"/>
    <mergeCell ref="B34:C34"/>
    <mergeCell ref="B35:C35"/>
    <mergeCell ref="B36:C36"/>
    <mergeCell ref="A37:C37"/>
    <mergeCell ref="B38:D38"/>
    <mergeCell ref="B39:C39"/>
    <mergeCell ref="B40:C40"/>
    <mergeCell ref="B41:C41"/>
    <mergeCell ref="B42:C42"/>
    <mergeCell ref="B43:C43"/>
    <mergeCell ref="A44:D44"/>
    <mergeCell ref="B33:C33"/>
    <mergeCell ref="A22:E22"/>
    <mergeCell ref="B23:D23"/>
    <mergeCell ref="B24:C24"/>
    <mergeCell ref="B25:C25"/>
    <mergeCell ref="A26:C26"/>
    <mergeCell ref="A27:E27"/>
    <mergeCell ref="B28:D28"/>
    <mergeCell ref="B29:C29"/>
    <mergeCell ref="B30:C30"/>
    <mergeCell ref="B31:C31"/>
    <mergeCell ref="B32:C32"/>
    <mergeCell ref="C6:E6"/>
    <mergeCell ref="A1:E1"/>
    <mergeCell ref="A2:E2"/>
    <mergeCell ref="C3:E3"/>
    <mergeCell ref="C4:E4"/>
    <mergeCell ref="C5:E5"/>
    <mergeCell ref="A21:D21"/>
    <mergeCell ref="A7:E7"/>
    <mergeCell ref="A8:E8"/>
    <mergeCell ref="A9:E9"/>
    <mergeCell ref="C10:E10"/>
    <mergeCell ref="B11:D11"/>
    <mergeCell ref="C12:E12"/>
    <mergeCell ref="B13:D13"/>
    <mergeCell ref="A14:E14"/>
    <mergeCell ref="B15:D15"/>
    <mergeCell ref="C16:D16"/>
    <mergeCell ref="B19:D19"/>
  </mergeCells>
  <hyperlinks>
    <hyperlink ref="B36" r:id="rId1" display="08 - Sebrae 0,3% ou 0,6% - IN nº 03, MPS/SRP/2005, Anexo II e III ver código da Tabela"/>
  </hyperlinks>
  <pageMargins left="0.51181102362204722" right="0.51181102362204722" top="0.78740157480314965" bottom="0.78740157480314965" header="0.31496062992125984" footer="0.31496062992125984"/>
  <pageSetup paperSize="9" scale="69" orientation="portrait" r:id="rId2"/>
  <rowBreaks count="1" manualBreakCount="1">
    <brk id="66" max="4" man="1"/>
  </rowBreaks>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topLeftCell="A7" workbookViewId="0">
      <selection activeCell="E8" sqref="E8"/>
    </sheetView>
  </sheetViews>
  <sheetFormatPr defaultColWidth="42.85546875" defaultRowHeight="18.75" x14ac:dyDescent="0.3"/>
  <cols>
    <col min="1" max="1" width="42.85546875" style="3"/>
    <col min="2" max="2" width="72.5703125" style="3" customWidth="1"/>
    <col min="3" max="16384" width="42.85546875" style="20"/>
  </cols>
  <sheetData>
    <row r="1" spans="1:2" ht="19.5" thickBot="1" x14ac:dyDescent="0.35">
      <c r="A1" s="262" t="s">
        <v>89</v>
      </c>
      <c r="B1" s="262"/>
    </row>
    <row r="2" spans="1:2" ht="19.5" thickBot="1" x14ac:dyDescent="0.35">
      <c r="A2" s="21" t="s">
        <v>90</v>
      </c>
      <c r="B2" s="21" t="s">
        <v>91</v>
      </c>
    </row>
    <row r="3" spans="1:2" ht="19.5" thickBot="1" x14ac:dyDescent="0.35">
      <c r="A3" s="22" t="s">
        <v>92</v>
      </c>
      <c r="B3" s="23" t="s">
        <v>93</v>
      </c>
    </row>
    <row r="4" spans="1:2" ht="57" thickBot="1" x14ac:dyDescent="0.35">
      <c r="A4" s="24" t="s">
        <v>94</v>
      </c>
      <c r="B4" s="25" t="s">
        <v>95</v>
      </c>
    </row>
    <row r="5" spans="1:2" ht="19.5" thickBot="1" x14ac:dyDescent="0.35">
      <c r="A5" s="24" t="s">
        <v>96</v>
      </c>
      <c r="B5" s="25" t="s">
        <v>97</v>
      </c>
    </row>
    <row r="6" spans="1:2" ht="94.5" thickBot="1" x14ac:dyDescent="0.35">
      <c r="A6" s="24" t="s">
        <v>98</v>
      </c>
      <c r="B6" s="25" t="s">
        <v>99</v>
      </c>
    </row>
    <row r="7" spans="1:2" ht="38.25" thickBot="1" x14ac:dyDescent="0.35">
      <c r="A7" s="24" t="s">
        <v>100</v>
      </c>
      <c r="B7" s="25" t="s">
        <v>101</v>
      </c>
    </row>
    <row r="8" spans="1:2" ht="19.5" thickBot="1" x14ac:dyDescent="0.35">
      <c r="A8" s="24" t="s">
        <v>102</v>
      </c>
      <c r="B8" s="25" t="s">
        <v>103</v>
      </c>
    </row>
    <row r="9" spans="1:2" ht="38.25" thickBot="1" x14ac:dyDescent="0.35">
      <c r="A9" s="24" t="s">
        <v>104</v>
      </c>
      <c r="B9" s="25" t="s">
        <v>105</v>
      </c>
    </row>
    <row r="10" spans="1:2" ht="57" thickBot="1" x14ac:dyDescent="0.35">
      <c r="A10" s="24" t="s">
        <v>106</v>
      </c>
      <c r="B10" s="25" t="s">
        <v>107</v>
      </c>
    </row>
    <row r="11" spans="1:2" ht="75.75" thickBot="1" x14ac:dyDescent="0.35">
      <c r="A11" s="24" t="s">
        <v>108</v>
      </c>
      <c r="B11" s="25" t="s">
        <v>109</v>
      </c>
    </row>
    <row r="12" spans="1:2" ht="57" thickBot="1" x14ac:dyDescent="0.35">
      <c r="A12" s="24" t="s">
        <v>106</v>
      </c>
      <c r="B12" s="25" t="s">
        <v>110</v>
      </c>
    </row>
    <row r="13" spans="1:2" ht="38.25" thickBot="1" x14ac:dyDescent="0.35">
      <c r="A13" s="24" t="s">
        <v>106</v>
      </c>
      <c r="B13" s="25" t="s">
        <v>111</v>
      </c>
    </row>
    <row r="14" spans="1:2" ht="57" thickBot="1" x14ac:dyDescent="0.35">
      <c r="A14" s="24" t="s">
        <v>106</v>
      </c>
      <c r="B14" s="25" t="s">
        <v>112</v>
      </c>
    </row>
    <row r="15" spans="1:2" ht="19.5" thickBot="1" x14ac:dyDescent="0.35">
      <c r="A15" s="24" t="s">
        <v>106</v>
      </c>
      <c r="B15" s="25" t="s">
        <v>113</v>
      </c>
    </row>
    <row r="16" spans="1:2" ht="38.25" thickBot="1" x14ac:dyDescent="0.35">
      <c r="A16" s="24" t="s">
        <v>114</v>
      </c>
      <c r="B16" s="25" t="s">
        <v>115</v>
      </c>
    </row>
    <row r="17" spans="1:2" ht="38.25" thickBot="1" x14ac:dyDescent="0.35">
      <c r="A17" s="24" t="s">
        <v>116</v>
      </c>
      <c r="B17" s="25" t="s">
        <v>117</v>
      </c>
    </row>
    <row r="18" spans="1:2" ht="38.25" thickBot="1" x14ac:dyDescent="0.35">
      <c r="A18" s="24" t="s">
        <v>106</v>
      </c>
      <c r="B18" s="25" t="s">
        <v>118</v>
      </c>
    </row>
    <row r="19" spans="1:2" ht="57" thickBot="1" x14ac:dyDescent="0.35">
      <c r="A19" s="24" t="s">
        <v>106</v>
      </c>
      <c r="B19" s="25" t="s">
        <v>119</v>
      </c>
    </row>
    <row r="20" spans="1:2" ht="38.25" thickBot="1" x14ac:dyDescent="0.35">
      <c r="A20" s="24" t="s">
        <v>106</v>
      </c>
      <c r="B20" s="25" t="s">
        <v>120</v>
      </c>
    </row>
    <row r="21" spans="1:2" ht="57" thickBot="1" x14ac:dyDescent="0.35">
      <c r="A21" s="24" t="s">
        <v>106</v>
      </c>
      <c r="B21" s="25" t="s">
        <v>121</v>
      </c>
    </row>
    <row r="22" spans="1:2" x14ac:dyDescent="0.3">
      <c r="A22" s="26" t="s">
        <v>106</v>
      </c>
      <c r="B22" s="27" t="s">
        <v>122</v>
      </c>
    </row>
  </sheetData>
  <mergeCells count="1">
    <mergeCell ref="A1:B1"/>
  </mergeCells>
  <pageMargins left="0.511811024" right="0.511811024" top="0.78740157499999996" bottom="0.78740157499999996" header="0.31496062000000002" footer="0.31496062000000002"/>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N95"/>
  <sheetViews>
    <sheetView tabSelected="1" topLeftCell="A14" workbookViewId="0">
      <selection activeCell="M18" sqref="M18"/>
    </sheetView>
  </sheetViews>
  <sheetFormatPr defaultRowHeight="15" x14ac:dyDescent="0.25"/>
  <cols>
    <col min="1" max="1" width="29.7109375" customWidth="1"/>
    <col min="2" max="2" width="42" customWidth="1"/>
    <col min="3" max="3" width="38.42578125" customWidth="1"/>
    <col min="4" max="4" width="14" customWidth="1"/>
    <col min="5" max="5" width="13.5703125" customWidth="1"/>
    <col min="6" max="6" width="17" customWidth="1"/>
    <col min="7" max="7" width="19.42578125" customWidth="1"/>
    <col min="8" max="8" width="19.5703125" customWidth="1"/>
    <col min="10" max="10" width="14" customWidth="1"/>
    <col min="12" max="12" width="19" customWidth="1"/>
    <col min="13" max="13" width="17.7109375" customWidth="1"/>
    <col min="14" max="14" width="16.28515625" customWidth="1"/>
    <col min="15" max="15" width="9.7109375" customWidth="1"/>
    <col min="16" max="16" width="13.7109375" customWidth="1"/>
  </cols>
  <sheetData>
    <row r="1" spans="1:14" ht="15.75" thickBot="1" x14ac:dyDescent="0.3"/>
    <row r="2" spans="1:14" ht="26.25" customHeight="1" thickBot="1" x14ac:dyDescent="0.3">
      <c r="A2" s="267" t="s">
        <v>332</v>
      </c>
      <c r="B2" s="268"/>
      <c r="C2" s="268"/>
      <c r="D2" s="268"/>
      <c r="E2" s="268"/>
      <c r="F2" s="268"/>
      <c r="G2" s="268"/>
      <c r="H2" s="269"/>
    </row>
    <row r="3" spans="1:14" x14ac:dyDescent="0.25">
      <c r="A3" s="270" t="s">
        <v>333</v>
      </c>
      <c r="B3" s="271"/>
      <c r="C3" s="271"/>
      <c r="D3" s="271"/>
      <c r="E3" s="271"/>
      <c r="F3" s="271"/>
      <c r="G3" s="271"/>
      <c r="H3" s="272"/>
    </row>
    <row r="4" spans="1:14" x14ac:dyDescent="0.25">
      <c r="A4" s="273"/>
      <c r="B4" s="274"/>
      <c r="C4" s="274"/>
      <c r="D4" s="274"/>
      <c r="E4" s="274"/>
      <c r="F4" s="274"/>
      <c r="G4" s="274"/>
      <c r="H4" s="275"/>
    </row>
    <row r="5" spans="1:14" x14ac:dyDescent="0.25">
      <c r="A5" s="273"/>
      <c r="B5" s="274"/>
      <c r="C5" s="274"/>
      <c r="D5" s="274"/>
      <c r="E5" s="274"/>
      <c r="F5" s="274"/>
      <c r="G5" s="274"/>
      <c r="H5" s="275"/>
    </row>
    <row r="6" spans="1:14" ht="33.75" customHeight="1" thickBot="1" x14ac:dyDescent="0.3">
      <c r="A6" s="276"/>
      <c r="B6" s="277"/>
      <c r="C6" s="277"/>
      <c r="D6" s="277"/>
      <c r="E6" s="277"/>
      <c r="F6" s="277"/>
      <c r="G6" s="277"/>
      <c r="H6" s="278"/>
    </row>
    <row r="7" spans="1:14" ht="21.75" customHeight="1" x14ac:dyDescent="0.25">
      <c r="A7" s="279" t="s">
        <v>271</v>
      </c>
      <c r="B7" s="280"/>
      <c r="C7" s="280"/>
      <c r="D7" s="280"/>
      <c r="E7" s="280"/>
      <c r="F7" s="280"/>
      <c r="G7" s="280"/>
      <c r="H7" s="281"/>
    </row>
    <row r="8" spans="1:14" ht="45" x14ac:dyDescent="0.25">
      <c r="A8" s="203" t="s">
        <v>126</v>
      </c>
      <c r="B8" s="77" t="s">
        <v>125</v>
      </c>
      <c r="C8" s="77" t="s">
        <v>127</v>
      </c>
      <c r="D8" s="77" t="s">
        <v>266</v>
      </c>
      <c r="E8" s="77" t="s">
        <v>281</v>
      </c>
      <c r="F8" s="77" t="s">
        <v>284</v>
      </c>
      <c r="G8" s="77" t="s">
        <v>282</v>
      </c>
      <c r="H8" s="204" t="s">
        <v>283</v>
      </c>
      <c r="L8" s="126"/>
    </row>
    <row r="9" spans="1:14" ht="60" customHeight="1" thickBot="1" x14ac:dyDescent="0.3">
      <c r="A9" s="286" t="s">
        <v>273</v>
      </c>
      <c r="B9" s="76" t="s">
        <v>285</v>
      </c>
      <c r="C9" s="75" t="s">
        <v>275</v>
      </c>
      <c r="D9" s="96" t="s">
        <v>267</v>
      </c>
      <c r="E9" s="75">
        <v>3</v>
      </c>
      <c r="F9" s="132">
        <f ca="1">' VIG. DIURNO-DESARM. 2ª à 6ª '!E110</f>
        <v>13481.64</v>
      </c>
      <c r="G9" s="78">
        <f t="shared" ref="G9:G15" ca="1" si="0">F9*E9</f>
        <v>40444.92</v>
      </c>
      <c r="H9" s="205">
        <f ca="1">G9*12</f>
        <v>485339.04</v>
      </c>
      <c r="L9" s="215"/>
    </row>
    <row r="10" spans="1:14" ht="65.25" customHeight="1" x14ac:dyDescent="0.25">
      <c r="A10" s="287"/>
      <c r="B10" s="76" t="s">
        <v>380</v>
      </c>
      <c r="C10" s="129" t="s">
        <v>274</v>
      </c>
      <c r="D10" s="147" t="s">
        <v>268</v>
      </c>
      <c r="E10" s="130">
        <v>1</v>
      </c>
      <c r="F10" s="133">
        <f ca="1">' VIG. DIURNO- ARM. 2ª à 6ª '!E111</f>
        <v>13804.92</v>
      </c>
      <c r="G10" s="78">
        <f t="shared" ca="1" si="0"/>
        <v>13804.92</v>
      </c>
      <c r="H10" s="205">
        <f t="shared" ref="H10:H17" ca="1" si="1">G10*12</f>
        <v>165659.04</v>
      </c>
      <c r="L10" s="126"/>
    </row>
    <row r="11" spans="1:14" ht="57" customHeight="1" x14ac:dyDescent="0.25">
      <c r="A11" s="287"/>
      <c r="B11" s="76" t="s">
        <v>286</v>
      </c>
      <c r="C11" s="206" t="s">
        <v>276</v>
      </c>
      <c r="D11" s="96" t="s">
        <v>269</v>
      </c>
      <c r="E11" s="131">
        <v>12</v>
      </c>
      <c r="F11" s="133">
        <f ca="1">' VIG. DIURNO-ARM. 2ª a DOM. '!E109</f>
        <v>14097.18</v>
      </c>
      <c r="G11" s="78">
        <f t="shared" ca="1" si="0"/>
        <v>169166.16</v>
      </c>
      <c r="H11" s="205">
        <f t="shared" ca="1" si="1"/>
        <v>2029993.92</v>
      </c>
      <c r="L11" s="126"/>
    </row>
    <row r="12" spans="1:14" ht="58.5" customHeight="1" x14ac:dyDescent="0.25">
      <c r="A12" s="288"/>
      <c r="B12" s="76" t="s">
        <v>286</v>
      </c>
      <c r="C12" s="75" t="s">
        <v>278</v>
      </c>
      <c r="D12" s="96" t="s">
        <v>270</v>
      </c>
      <c r="E12" s="131">
        <v>14</v>
      </c>
      <c r="F12" s="133">
        <f>'VIG. NOTURNO-ARM. 2ª a DOM.'!E109</f>
        <v>15676.56</v>
      </c>
      <c r="G12" s="78">
        <f t="shared" si="0"/>
        <v>219471.84</v>
      </c>
      <c r="H12" s="205">
        <f t="shared" si="1"/>
        <v>2633662.08</v>
      </c>
      <c r="L12" s="126"/>
    </row>
    <row r="13" spans="1:14" ht="23.25" customHeight="1" x14ac:dyDescent="0.25">
      <c r="A13" s="291" t="s">
        <v>329</v>
      </c>
      <c r="B13" s="292"/>
      <c r="C13" s="292"/>
      <c r="D13" s="292"/>
      <c r="E13" s="292"/>
      <c r="F13" s="293"/>
      <c r="G13" s="235">
        <f ca="1">SUM(G9:G12)</f>
        <v>442887.84</v>
      </c>
      <c r="H13" s="207">
        <f t="shared" ca="1" si="1"/>
        <v>5314654.08</v>
      </c>
    </row>
    <row r="14" spans="1:14" ht="57.75" customHeight="1" x14ac:dyDescent="0.25">
      <c r="A14" s="289" t="s">
        <v>272</v>
      </c>
      <c r="B14" s="76" t="s">
        <v>286</v>
      </c>
      <c r="C14" s="129" t="s">
        <v>276</v>
      </c>
      <c r="D14" s="96" t="s">
        <v>269</v>
      </c>
      <c r="E14" s="131">
        <v>4</v>
      </c>
      <c r="F14" s="133">
        <f ca="1">' VIG. DIURNO-ARM. 2ª a DOM. '!E109</f>
        <v>14097.18</v>
      </c>
      <c r="G14" s="78">
        <f t="shared" ca="1" si="0"/>
        <v>56388.72</v>
      </c>
      <c r="H14" s="205">
        <f t="shared" ca="1" si="1"/>
        <v>676664.64</v>
      </c>
      <c r="L14" s="126"/>
    </row>
    <row r="15" spans="1:14" ht="60" customHeight="1" x14ac:dyDescent="0.25">
      <c r="A15" s="290"/>
      <c r="B15" s="160" t="s">
        <v>286</v>
      </c>
      <c r="C15" s="206" t="s">
        <v>277</v>
      </c>
      <c r="D15" s="147" t="s">
        <v>270</v>
      </c>
      <c r="E15" s="130">
        <v>2</v>
      </c>
      <c r="F15" s="161">
        <f>'VIG. NOTURNO-ARM. 2ª a DOM.'!E109</f>
        <v>15676.56</v>
      </c>
      <c r="G15" s="78">
        <f t="shared" si="0"/>
        <v>31353.119999999999</v>
      </c>
      <c r="H15" s="205">
        <f t="shared" si="1"/>
        <v>376237.44</v>
      </c>
      <c r="L15" s="126"/>
    </row>
    <row r="16" spans="1:14" ht="30" customHeight="1" x14ac:dyDescent="0.25">
      <c r="A16" s="263" t="s">
        <v>330</v>
      </c>
      <c r="B16" s="264"/>
      <c r="C16" s="264"/>
      <c r="D16" s="264"/>
      <c r="E16" s="264"/>
      <c r="F16" s="264"/>
      <c r="G16" s="234">
        <f ca="1">SUM(G14:G15)</f>
        <v>87741.84</v>
      </c>
      <c r="H16" s="208">
        <f t="shared" ca="1" si="1"/>
        <v>1052902.08</v>
      </c>
      <c r="L16" s="250"/>
      <c r="M16" s="125"/>
      <c r="N16" s="125"/>
    </row>
    <row r="17" spans="1:14" ht="18.75" x14ac:dyDescent="0.25">
      <c r="A17" s="282" t="s">
        <v>331</v>
      </c>
      <c r="B17" s="283"/>
      <c r="C17" s="283"/>
      <c r="D17" s="283"/>
      <c r="E17" s="283"/>
      <c r="F17" s="283"/>
      <c r="G17" s="79">
        <f ca="1">G16+G13</f>
        <v>530629.68000000005</v>
      </c>
      <c r="H17" s="209">
        <f t="shared" ca="1" si="1"/>
        <v>6367556.1600000001</v>
      </c>
      <c r="L17" s="250"/>
    </row>
    <row r="18" spans="1:14" ht="15.75" thickBot="1" x14ac:dyDescent="0.3">
      <c r="A18" s="210"/>
      <c r="B18" s="211"/>
      <c r="C18" s="211"/>
      <c r="D18" s="211"/>
      <c r="E18" s="211"/>
      <c r="F18" s="211"/>
      <c r="G18" s="211"/>
      <c r="H18" s="212"/>
      <c r="L18" s="250"/>
      <c r="M18" s="224"/>
    </row>
    <row r="19" spans="1:14" ht="19.5" thickBot="1" x14ac:dyDescent="0.3">
      <c r="A19" s="284" t="s">
        <v>280</v>
      </c>
      <c r="B19" s="285"/>
      <c r="C19" s="285"/>
      <c r="D19" s="285"/>
      <c r="E19" s="285"/>
      <c r="F19" s="285"/>
      <c r="G19" s="217">
        <f ca="1" xml:space="preserve"> G17</f>
        <v>530629.68000000005</v>
      </c>
      <c r="H19" s="218">
        <f ca="1" xml:space="preserve"> H17</f>
        <v>6367556.1600000001</v>
      </c>
    </row>
    <row r="20" spans="1:14" s="216" customFormat="1" ht="62.25" customHeight="1" thickBot="1" x14ac:dyDescent="0.3">
      <c r="A20" s="141"/>
      <c r="B20" s="141"/>
      <c r="C20" s="141"/>
      <c r="D20" s="141"/>
      <c r="E20" s="141"/>
      <c r="F20" s="141"/>
      <c r="G20" s="142"/>
      <c r="H20" s="142"/>
    </row>
    <row r="21" spans="1:14" ht="25.5" customHeight="1" thickBot="1" x14ac:dyDescent="0.3">
      <c r="A21" s="267" t="s">
        <v>332</v>
      </c>
      <c r="B21" s="268"/>
      <c r="C21" s="268"/>
      <c r="D21" s="268"/>
      <c r="E21" s="268"/>
      <c r="F21" s="268"/>
      <c r="G21" s="268"/>
      <c r="H21" s="269"/>
      <c r="L21" s="126"/>
    </row>
    <row r="22" spans="1:14" x14ac:dyDescent="0.25">
      <c r="A22" s="270" t="s">
        <v>363</v>
      </c>
      <c r="B22" s="271"/>
      <c r="C22" s="271"/>
      <c r="D22" s="271"/>
      <c r="E22" s="271"/>
      <c r="F22" s="271"/>
      <c r="G22" s="271"/>
      <c r="H22" s="272"/>
      <c r="J22" s="126"/>
      <c r="L22" s="126"/>
    </row>
    <row r="23" spans="1:14" x14ac:dyDescent="0.25">
      <c r="A23" s="273"/>
      <c r="B23" s="274"/>
      <c r="C23" s="274"/>
      <c r="D23" s="274"/>
      <c r="E23" s="274"/>
      <c r="F23" s="274"/>
      <c r="G23" s="274"/>
      <c r="H23" s="275"/>
    </row>
    <row r="24" spans="1:14" x14ac:dyDescent="0.25">
      <c r="A24" s="273"/>
      <c r="B24" s="274"/>
      <c r="C24" s="274"/>
      <c r="D24" s="274"/>
      <c r="E24" s="274"/>
      <c r="F24" s="274"/>
      <c r="G24" s="274"/>
      <c r="H24" s="275"/>
      <c r="J24" s="126"/>
      <c r="L24" s="126"/>
    </row>
    <row r="25" spans="1:14" ht="30" customHeight="1" x14ac:dyDescent="0.25">
      <c r="A25" s="273"/>
      <c r="B25" s="274"/>
      <c r="C25" s="274"/>
      <c r="D25" s="274"/>
      <c r="E25" s="274"/>
      <c r="F25" s="274"/>
      <c r="G25" s="274"/>
      <c r="H25" s="275"/>
      <c r="L25" s="126"/>
    </row>
    <row r="26" spans="1:14" ht="24.75" customHeight="1" x14ac:dyDescent="0.25">
      <c r="A26" s="294" t="s">
        <v>317</v>
      </c>
      <c r="B26" s="295"/>
      <c r="C26" s="295"/>
      <c r="D26" s="295"/>
      <c r="E26" s="295"/>
      <c r="F26" s="295"/>
      <c r="G26" s="295"/>
      <c r="H26" s="296"/>
      <c r="J26" s="126"/>
      <c r="L26" s="126"/>
      <c r="M26" s="126"/>
    </row>
    <row r="27" spans="1:14" ht="45" x14ac:dyDescent="0.25">
      <c r="A27" s="203" t="s">
        <v>126</v>
      </c>
      <c r="B27" s="77" t="s">
        <v>125</v>
      </c>
      <c r="C27" s="77" t="s">
        <v>127</v>
      </c>
      <c r="D27" s="77" t="s">
        <v>266</v>
      </c>
      <c r="E27" s="77" t="s">
        <v>281</v>
      </c>
      <c r="F27" s="77" t="s">
        <v>284</v>
      </c>
      <c r="G27" s="77" t="s">
        <v>282</v>
      </c>
      <c r="H27" s="204" t="s">
        <v>283</v>
      </c>
      <c r="J27" s="224"/>
      <c r="L27" s="126"/>
      <c r="N27" s="224"/>
    </row>
    <row r="28" spans="1:14" ht="60" x14ac:dyDescent="0.25">
      <c r="A28" s="289" t="s">
        <v>314</v>
      </c>
      <c r="B28" s="76" t="s">
        <v>286</v>
      </c>
      <c r="C28" s="129" t="s">
        <v>276</v>
      </c>
      <c r="D28" s="96" t="s">
        <v>269</v>
      </c>
      <c r="E28" s="131">
        <v>1</v>
      </c>
      <c r="F28" s="133">
        <f>' VIG. DIURNO-ARM. 2ª a DOM.INT.'!E109</f>
        <v>13998.2</v>
      </c>
      <c r="G28" s="78">
        <f t="shared" ref="G28:G29" si="2">F28*E28</f>
        <v>13998.2</v>
      </c>
      <c r="H28" s="205">
        <f t="shared" ref="H28:H30" si="3">G28*12</f>
        <v>167978.4</v>
      </c>
      <c r="J28" s="126"/>
      <c r="L28" s="126"/>
      <c r="N28" s="224"/>
    </row>
    <row r="29" spans="1:14" ht="75" x14ac:dyDescent="0.25">
      <c r="A29" s="297"/>
      <c r="B29" s="76" t="s">
        <v>286</v>
      </c>
      <c r="C29" s="206" t="s">
        <v>277</v>
      </c>
      <c r="D29" s="96" t="s">
        <v>270</v>
      </c>
      <c r="E29" s="131">
        <v>1</v>
      </c>
      <c r="F29" s="133">
        <f>'VIG. NOTURNO-ARM. 2ª a DOM.INT.'!E109</f>
        <v>15577.56</v>
      </c>
      <c r="G29" s="78">
        <f t="shared" si="2"/>
        <v>15577.56</v>
      </c>
      <c r="H29" s="205">
        <f t="shared" si="3"/>
        <v>186930.72</v>
      </c>
      <c r="N29" s="224"/>
    </row>
    <row r="30" spans="1:14" ht="18.75" x14ac:dyDescent="0.25">
      <c r="A30" s="282" t="s">
        <v>235</v>
      </c>
      <c r="B30" s="283"/>
      <c r="C30" s="283"/>
      <c r="D30" s="283"/>
      <c r="E30" s="283"/>
      <c r="F30" s="283"/>
      <c r="G30" s="79">
        <f>SUM(G28:G29)</f>
        <v>29575.759999999998</v>
      </c>
      <c r="H30" s="209">
        <f t="shared" si="3"/>
        <v>354909.12</v>
      </c>
    </row>
    <row r="31" spans="1:14" x14ac:dyDescent="0.25">
      <c r="A31" s="210"/>
      <c r="B31" s="211"/>
      <c r="C31" s="211"/>
      <c r="D31" s="211"/>
      <c r="E31" s="211"/>
      <c r="F31" s="211"/>
      <c r="G31" s="211"/>
      <c r="H31" s="212"/>
    </row>
    <row r="32" spans="1:14" ht="19.5" thickBot="1" x14ac:dyDescent="0.3">
      <c r="A32" s="265" t="s">
        <v>308</v>
      </c>
      <c r="B32" s="266"/>
      <c r="C32" s="266"/>
      <c r="D32" s="266"/>
      <c r="E32" s="266"/>
      <c r="F32" s="266"/>
      <c r="G32" s="143">
        <f xml:space="preserve"> G30</f>
        <v>29575.759999999998</v>
      </c>
      <c r="H32" s="213">
        <f xml:space="preserve"> H30</f>
        <v>354909.12</v>
      </c>
    </row>
    <row r="33" spans="1:8" ht="27.75" customHeight="1" thickBot="1" x14ac:dyDescent="0.3">
      <c r="A33" s="267" t="s">
        <v>332</v>
      </c>
      <c r="B33" s="268"/>
      <c r="C33" s="268"/>
      <c r="D33" s="268"/>
      <c r="E33" s="268"/>
      <c r="F33" s="268"/>
      <c r="G33" s="268"/>
      <c r="H33" s="269"/>
    </row>
    <row r="34" spans="1:8" x14ac:dyDescent="0.25">
      <c r="A34" s="270" t="s">
        <v>362</v>
      </c>
      <c r="B34" s="271"/>
      <c r="C34" s="271"/>
      <c r="D34" s="271"/>
      <c r="E34" s="271"/>
      <c r="F34" s="271"/>
      <c r="G34" s="271"/>
      <c r="H34" s="272"/>
    </row>
    <row r="35" spans="1:8" x14ac:dyDescent="0.25">
      <c r="A35" s="273"/>
      <c r="B35" s="274"/>
      <c r="C35" s="274"/>
      <c r="D35" s="274"/>
      <c r="E35" s="274"/>
      <c r="F35" s="274"/>
      <c r="G35" s="274"/>
      <c r="H35" s="275"/>
    </row>
    <row r="36" spans="1:8" x14ac:dyDescent="0.25">
      <c r="A36" s="273"/>
      <c r="B36" s="274"/>
      <c r="C36" s="274"/>
      <c r="D36" s="274"/>
      <c r="E36" s="274"/>
      <c r="F36" s="274"/>
      <c r="G36" s="274"/>
      <c r="H36" s="275"/>
    </row>
    <row r="37" spans="1:8" ht="25.5" customHeight="1" x14ac:dyDescent="0.25">
      <c r="A37" s="273"/>
      <c r="B37" s="274"/>
      <c r="C37" s="274"/>
      <c r="D37" s="274"/>
      <c r="E37" s="274"/>
      <c r="F37" s="274"/>
      <c r="G37" s="274"/>
      <c r="H37" s="275"/>
    </row>
    <row r="38" spans="1:8" ht="24" customHeight="1" x14ac:dyDescent="0.25">
      <c r="A38" s="294" t="s">
        <v>316</v>
      </c>
      <c r="B38" s="295"/>
      <c r="C38" s="295"/>
      <c r="D38" s="295"/>
      <c r="E38" s="295"/>
      <c r="F38" s="295"/>
      <c r="G38" s="295"/>
      <c r="H38" s="296"/>
    </row>
    <row r="39" spans="1:8" ht="45" x14ac:dyDescent="0.25">
      <c r="A39" s="203" t="s">
        <v>126</v>
      </c>
      <c r="B39" s="77" t="s">
        <v>125</v>
      </c>
      <c r="C39" s="77" t="s">
        <v>127</v>
      </c>
      <c r="D39" s="77" t="s">
        <v>266</v>
      </c>
      <c r="E39" s="77" t="s">
        <v>281</v>
      </c>
      <c r="F39" s="77" t="s">
        <v>284</v>
      </c>
      <c r="G39" s="77" t="s">
        <v>282</v>
      </c>
      <c r="H39" s="204" t="s">
        <v>283</v>
      </c>
    </row>
    <row r="40" spans="1:8" ht="60" x14ac:dyDescent="0.25">
      <c r="A40" s="289" t="s">
        <v>315</v>
      </c>
      <c r="B40" s="76" t="s">
        <v>286</v>
      </c>
      <c r="C40" s="129" t="s">
        <v>276</v>
      </c>
      <c r="D40" s="96" t="s">
        <v>269</v>
      </c>
      <c r="E40" s="131">
        <v>1</v>
      </c>
      <c r="F40" s="133">
        <f>F28</f>
        <v>13998.2</v>
      </c>
      <c r="G40" s="78">
        <f t="shared" ref="G40:G41" si="4">F40*E40</f>
        <v>13998.2</v>
      </c>
      <c r="H40" s="205">
        <f t="shared" ref="H40:H42" si="5">G40*12</f>
        <v>167978.4</v>
      </c>
    </row>
    <row r="41" spans="1:8" ht="75" x14ac:dyDescent="0.25">
      <c r="A41" s="297"/>
      <c r="B41" s="76" t="s">
        <v>286</v>
      </c>
      <c r="C41" s="206" t="s">
        <v>277</v>
      </c>
      <c r="D41" s="96" t="s">
        <v>270</v>
      </c>
      <c r="E41" s="131">
        <v>1</v>
      </c>
      <c r="F41" s="133">
        <f>F29</f>
        <v>15577.56</v>
      </c>
      <c r="G41" s="78">
        <f t="shared" si="4"/>
        <v>15577.56</v>
      </c>
      <c r="H41" s="205">
        <f t="shared" si="5"/>
        <v>186930.72</v>
      </c>
    </row>
    <row r="42" spans="1:8" ht="18.75" x14ac:dyDescent="0.25">
      <c r="A42" s="282" t="s">
        <v>235</v>
      </c>
      <c r="B42" s="283"/>
      <c r="C42" s="283"/>
      <c r="D42" s="283"/>
      <c r="E42" s="283"/>
      <c r="F42" s="283"/>
      <c r="G42" s="79">
        <f>SUM(G40:G41)</f>
        <v>29575.759999999998</v>
      </c>
      <c r="H42" s="209">
        <f t="shared" si="5"/>
        <v>354909.12</v>
      </c>
    </row>
    <row r="43" spans="1:8" ht="19.5" thickBot="1" x14ac:dyDescent="0.3">
      <c r="A43" s="265" t="s">
        <v>309</v>
      </c>
      <c r="B43" s="266"/>
      <c r="C43" s="266"/>
      <c r="D43" s="266"/>
      <c r="E43" s="266"/>
      <c r="F43" s="266"/>
      <c r="G43" s="143">
        <f xml:space="preserve"> G42</f>
        <v>29575.759999999998</v>
      </c>
      <c r="H43" s="213">
        <f xml:space="preserve"> H42</f>
        <v>354909.12</v>
      </c>
    </row>
    <row r="44" spans="1:8" ht="24.75" customHeight="1" thickBot="1" x14ac:dyDescent="0.3">
      <c r="A44" s="267" t="s">
        <v>332</v>
      </c>
      <c r="B44" s="268"/>
      <c r="C44" s="268"/>
      <c r="D44" s="268"/>
      <c r="E44" s="268"/>
      <c r="F44" s="268"/>
      <c r="G44" s="268"/>
      <c r="H44" s="269"/>
    </row>
    <row r="45" spans="1:8" x14ac:dyDescent="0.25">
      <c r="A45" s="270" t="s">
        <v>361</v>
      </c>
      <c r="B45" s="271"/>
      <c r="C45" s="271"/>
      <c r="D45" s="271"/>
      <c r="E45" s="271"/>
      <c r="F45" s="271"/>
      <c r="G45" s="271"/>
      <c r="H45" s="272"/>
    </row>
    <row r="46" spans="1:8" x14ac:dyDescent="0.25">
      <c r="A46" s="273"/>
      <c r="B46" s="274"/>
      <c r="C46" s="274"/>
      <c r="D46" s="274"/>
      <c r="E46" s="274"/>
      <c r="F46" s="274"/>
      <c r="G46" s="274"/>
      <c r="H46" s="275"/>
    </row>
    <row r="47" spans="1:8" x14ac:dyDescent="0.25">
      <c r="A47" s="273"/>
      <c r="B47" s="274"/>
      <c r="C47" s="274"/>
      <c r="D47" s="274"/>
      <c r="E47" s="274"/>
      <c r="F47" s="274"/>
      <c r="G47" s="274"/>
      <c r="H47" s="275"/>
    </row>
    <row r="48" spans="1:8" ht="22.5" customHeight="1" x14ac:dyDescent="0.25">
      <c r="A48" s="273"/>
      <c r="B48" s="274"/>
      <c r="C48" s="274"/>
      <c r="D48" s="274"/>
      <c r="E48" s="274"/>
      <c r="F48" s="274"/>
      <c r="G48" s="274"/>
      <c r="H48" s="275"/>
    </row>
    <row r="49" spans="1:8" ht="25.5" customHeight="1" x14ac:dyDescent="0.25">
      <c r="A49" s="294" t="s">
        <v>318</v>
      </c>
      <c r="B49" s="295"/>
      <c r="C49" s="295"/>
      <c r="D49" s="295"/>
      <c r="E49" s="295"/>
      <c r="F49" s="295"/>
      <c r="G49" s="295"/>
      <c r="H49" s="296"/>
    </row>
    <row r="50" spans="1:8" ht="38.25" customHeight="1" x14ac:dyDescent="0.25">
      <c r="A50" s="203" t="s">
        <v>126</v>
      </c>
      <c r="B50" s="77" t="s">
        <v>125</v>
      </c>
      <c r="C50" s="77" t="s">
        <v>127</v>
      </c>
      <c r="D50" s="77" t="s">
        <v>266</v>
      </c>
      <c r="E50" s="77" t="s">
        <v>281</v>
      </c>
      <c r="F50" s="77" t="s">
        <v>284</v>
      </c>
      <c r="G50" s="77" t="s">
        <v>282</v>
      </c>
      <c r="H50" s="204" t="s">
        <v>283</v>
      </c>
    </row>
    <row r="51" spans="1:8" ht="60" x14ac:dyDescent="0.25">
      <c r="A51" s="289" t="s">
        <v>319</v>
      </c>
      <c r="B51" s="76" t="s">
        <v>286</v>
      </c>
      <c r="C51" s="129" t="s">
        <v>276</v>
      </c>
      <c r="D51" s="96" t="s">
        <v>269</v>
      </c>
      <c r="E51" s="131">
        <v>1</v>
      </c>
      <c r="F51" s="133">
        <f>F28</f>
        <v>13998.2</v>
      </c>
      <c r="G51" s="78">
        <f t="shared" ref="G51:G52" si="6">F51*E51</f>
        <v>13998.2</v>
      </c>
      <c r="H51" s="205">
        <f t="shared" ref="H51:H53" si="7">G51*12</f>
        <v>167978.4</v>
      </c>
    </row>
    <row r="52" spans="1:8" ht="75" x14ac:dyDescent="0.25">
      <c r="A52" s="297"/>
      <c r="B52" s="76" t="s">
        <v>286</v>
      </c>
      <c r="C52" s="206" t="s">
        <v>277</v>
      </c>
      <c r="D52" s="96" t="s">
        <v>270</v>
      </c>
      <c r="E52" s="131">
        <v>1</v>
      </c>
      <c r="F52" s="133">
        <f>F29</f>
        <v>15577.56</v>
      </c>
      <c r="G52" s="78">
        <f t="shared" si="6"/>
        <v>15577.56</v>
      </c>
      <c r="H52" s="205">
        <f t="shared" si="7"/>
        <v>186930.72</v>
      </c>
    </row>
    <row r="53" spans="1:8" ht="18.75" x14ac:dyDescent="0.25">
      <c r="A53" s="282" t="s">
        <v>235</v>
      </c>
      <c r="B53" s="283"/>
      <c r="C53" s="283"/>
      <c r="D53" s="283"/>
      <c r="E53" s="283"/>
      <c r="F53" s="283"/>
      <c r="G53" s="79">
        <f>SUM(G51:G52)</f>
        <v>29575.759999999998</v>
      </c>
      <c r="H53" s="209">
        <f t="shared" si="7"/>
        <v>354909.12</v>
      </c>
    </row>
    <row r="54" spans="1:8" x14ac:dyDescent="0.25">
      <c r="A54" s="210"/>
      <c r="B54" s="211"/>
      <c r="C54" s="211"/>
      <c r="D54" s="211"/>
      <c r="E54" s="211"/>
      <c r="F54" s="211"/>
      <c r="G54" s="211"/>
      <c r="H54" s="212"/>
    </row>
    <row r="55" spans="1:8" ht="18.75" x14ac:dyDescent="0.25">
      <c r="A55" s="265" t="s">
        <v>310</v>
      </c>
      <c r="B55" s="266"/>
      <c r="C55" s="266"/>
      <c r="D55" s="266"/>
      <c r="E55" s="266"/>
      <c r="F55" s="266"/>
      <c r="G55" s="143">
        <f xml:space="preserve"> G53</f>
        <v>29575.759999999998</v>
      </c>
      <c r="H55" s="213">
        <f xml:space="preserve"> H53</f>
        <v>354909.12</v>
      </c>
    </row>
    <row r="56" spans="1:8" ht="15.75" thickBot="1" x14ac:dyDescent="0.3">
      <c r="A56" s="210"/>
      <c r="B56" s="211"/>
      <c r="C56" s="211"/>
      <c r="D56" s="211"/>
      <c r="E56" s="211"/>
      <c r="F56" s="211"/>
      <c r="G56" s="211"/>
      <c r="H56" s="212"/>
    </row>
    <row r="57" spans="1:8" ht="24.75" customHeight="1" thickBot="1" x14ac:dyDescent="0.3">
      <c r="A57" s="267" t="s">
        <v>332</v>
      </c>
      <c r="B57" s="268"/>
      <c r="C57" s="268"/>
      <c r="D57" s="268"/>
      <c r="E57" s="268"/>
      <c r="F57" s="268"/>
      <c r="G57" s="268"/>
      <c r="H57" s="269"/>
    </row>
    <row r="58" spans="1:8" x14ac:dyDescent="0.25">
      <c r="A58" s="270" t="s">
        <v>360</v>
      </c>
      <c r="B58" s="271"/>
      <c r="C58" s="271"/>
      <c r="D58" s="271"/>
      <c r="E58" s="271"/>
      <c r="F58" s="271"/>
      <c r="G58" s="271"/>
      <c r="H58" s="272"/>
    </row>
    <row r="59" spans="1:8" x14ac:dyDescent="0.25">
      <c r="A59" s="273"/>
      <c r="B59" s="274"/>
      <c r="C59" s="274"/>
      <c r="D59" s="274"/>
      <c r="E59" s="274"/>
      <c r="F59" s="274"/>
      <c r="G59" s="274"/>
      <c r="H59" s="275"/>
    </row>
    <row r="60" spans="1:8" x14ac:dyDescent="0.25">
      <c r="A60" s="273"/>
      <c r="B60" s="274"/>
      <c r="C60" s="274"/>
      <c r="D60" s="274"/>
      <c r="E60" s="274"/>
      <c r="F60" s="274"/>
      <c r="G60" s="274"/>
      <c r="H60" s="275"/>
    </row>
    <row r="61" spans="1:8" x14ac:dyDescent="0.25">
      <c r="A61" s="273"/>
      <c r="B61" s="274"/>
      <c r="C61" s="274"/>
      <c r="D61" s="274"/>
      <c r="E61" s="274"/>
      <c r="F61" s="274"/>
      <c r="G61" s="274"/>
      <c r="H61" s="275"/>
    </row>
    <row r="62" spans="1:8" ht="23.25" customHeight="1" x14ac:dyDescent="0.25">
      <c r="A62" s="294" t="s">
        <v>320</v>
      </c>
      <c r="B62" s="295"/>
      <c r="C62" s="295"/>
      <c r="D62" s="295"/>
      <c r="E62" s="295"/>
      <c r="F62" s="295"/>
      <c r="G62" s="295"/>
      <c r="H62" s="296"/>
    </row>
    <row r="63" spans="1:8" ht="45" x14ac:dyDescent="0.25">
      <c r="A63" s="203" t="s">
        <v>126</v>
      </c>
      <c r="B63" s="77" t="s">
        <v>125</v>
      </c>
      <c r="C63" s="77" t="s">
        <v>127</v>
      </c>
      <c r="D63" s="77" t="s">
        <v>266</v>
      </c>
      <c r="E63" s="77" t="s">
        <v>281</v>
      </c>
      <c r="F63" s="77" t="s">
        <v>284</v>
      </c>
      <c r="G63" s="77" t="s">
        <v>282</v>
      </c>
      <c r="H63" s="204" t="s">
        <v>283</v>
      </c>
    </row>
    <row r="64" spans="1:8" ht="60" x14ac:dyDescent="0.25">
      <c r="A64" s="289" t="s">
        <v>321</v>
      </c>
      <c r="B64" s="76" t="s">
        <v>286</v>
      </c>
      <c r="C64" s="129" t="s">
        <v>276</v>
      </c>
      <c r="D64" s="96" t="s">
        <v>269</v>
      </c>
      <c r="E64" s="131">
        <v>1</v>
      </c>
      <c r="F64" s="133">
        <f>' VIG. DIURNO-ARM. 2ª a DOM.INT.'!E109</f>
        <v>13998.2</v>
      </c>
      <c r="G64" s="78">
        <f t="shared" ref="G64:G65" si="8">F64*E64</f>
        <v>13998.2</v>
      </c>
      <c r="H64" s="205">
        <f t="shared" ref="H64:H66" si="9">G64*12</f>
        <v>167978.4</v>
      </c>
    </row>
    <row r="65" spans="1:8" ht="75" x14ac:dyDescent="0.25">
      <c r="A65" s="297"/>
      <c r="B65" s="76" t="s">
        <v>286</v>
      </c>
      <c r="C65" s="206" t="s">
        <v>277</v>
      </c>
      <c r="D65" s="96" t="s">
        <v>270</v>
      </c>
      <c r="E65" s="131">
        <v>1</v>
      </c>
      <c r="F65" s="133">
        <f>'VIG. NOTURNO-ARM. 2ª a DOM.INT.'!E109</f>
        <v>15577.56</v>
      </c>
      <c r="G65" s="78">
        <f t="shared" si="8"/>
        <v>15577.56</v>
      </c>
      <c r="H65" s="205">
        <f t="shared" si="9"/>
        <v>186930.72</v>
      </c>
    </row>
    <row r="66" spans="1:8" ht="18.75" x14ac:dyDescent="0.25">
      <c r="A66" s="282" t="s">
        <v>235</v>
      </c>
      <c r="B66" s="283"/>
      <c r="C66" s="283"/>
      <c r="D66" s="283"/>
      <c r="E66" s="283"/>
      <c r="F66" s="283"/>
      <c r="G66" s="79">
        <f>SUM(G64:G65)</f>
        <v>29575.759999999998</v>
      </c>
      <c r="H66" s="209">
        <f t="shared" si="9"/>
        <v>354909.12</v>
      </c>
    </row>
    <row r="67" spans="1:8" x14ac:dyDescent="0.25">
      <c r="A67" s="210"/>
      <c r="B67" s="211"/>
      <c r="C67" s="211"/>
      <c r="D67" s="211"/>
      <c r="E67" s="211"/>
      <c r="F67" s="211"/>
      <c r="G67" s="211"/>
      <c r="H67" s="212"/>
    </row>
    <row r="68" spans="1:8" ht="19.5" thickBot="1" x14ac:dyDescent="0.3">
      <c r="A68" s="265" t="s">
        <v>312</v>
      </c>
      <c r="B68" s="266"/>
      <c r="C68" s="266"/>
      <c r="D68" s="266"/>
      <c r="E68" s="266"/>
      <c r="F68" s="266"/>
      <c r="G68" s="143">
        <f xml:space="preserve"> G66</f>
        <v>29575.759999999998</v>
      </c>
      <c r="H68" s="213">
        <f xml:space="preserve"> H66</f>
        <v>354909.12</v>
      </c>
    </row>
    <row r="69" spans="1:8" ht="21" customHeight="1" thickBot="1" x14ac:dyDescent="0.3">
      <c r="A69" s="267" t="s">
        <v>332</v>
      </c>
      <c r="B69" s="268"/>
      <c r="C69" s="268"/>
      <c r="D69" s="268"/>
      <c r="E69" s="268"/>
      <c r="F69" s="268"/>
      <c r="G69" s="268"/>
      <c r="H69" s="269"/>
    </row>
    <row r="70" spans="1:8" x14ac:dyDescent="0.25">
      <c r="A70" s="270" t="s">
        <v>359</v>
      </c>
      <c r="B70" s="271"/>
      <c r="C70" s="271"/>
      <c r="D70" s="271"/>
      <c r="E70" s="271"/>
      <c r="F70" s="271"/>
      <c r="G70" s="271"/>
      <c r="H70" s="272"/>
    </row>
    <row r="71" spans="1:8" x14ac:dyDescent="0.25">
      <c r="A71" s="273"/>
      <c r="B71" s="274"/>
      <c r="C71" s="274"/>
      <c r="D71" s="274"/>
      <c r="E71" s="274"/>
      <c r="F71" s="274"/>
      <c r="G71" s="274"/>
      <c r="H71" s="275"/>
    </row>
    <row r="72" spans="1:8" x14ac:dyDescent="0.25">
      <c r="A72" s="273"/>
      <c r="B72" s="274"/>
      <c r="C72" s="274"/>
      <c r="D72" s="274"/>
      <c r="E72" s="274"/>
      <c r="F72" s="274"/>
      <c r="G72" s="274"/>
      <c r="H72" s="275"/>
    </row>
    <row r="73" spans="1:8" x14ac:dyDescent="0.25">
      <c r="A73" s="273"/>
      <c r="B73" s="274"/>
      <c r="C73" s="274"/>
      <c r="D73" s="274"/>
      <c r="E73" s="274"/>
      <c r="F73" s="274"/>
      <c r="G73" s="274"/>
      <c r="H73" s="275"/>
    </row>
    <row r="74" spans="1:8" ht="25.5" customHeight="1" x14ac:dyDescent="0.25">
      <c r="A74" s="294" t="s">
        <v>311</v>
      </c>
      <c r="B74" s="295"/>
      <c r="C74" s="295"/>
      <c r="D74" s="295"/>
      <c r="E74" s="295"/>
      <c r="F74" s="295"/>
      <c r="G74" s="295"/>
      <c r="H74" s="296"/>
    </row>
    <row r="75" spans="1:8" ht="45" x14ac:dyDescent="0.25">
      <c r="A75" s="203" t="s">
        <v>126</v>
      </c>
      <c r="B75" s="77" t="s">
        <v>125</v>
      </c>
      <c r="C75" s="77" t="s">
        <v>127</v>
      </c>
      <c r="D75" s="77" t="s">
        <v>266</v>
      </c>
      <c r="E75" s="77" t="s">
        <v>281</v>
      </c>
      <c r="F75" s="77" t="s">
        <v>284</v>
      </c>
      <c r="G75" s="77" t="s">
        <v>282</v>
      </c>
      <c r="H75" s="204" t="s">
        <v>283</v>
      </c>
    </row>
    <row r="76" spans="1:8" ht="60" x14ac:dyDescent="0.25">
      <c r="A76" s="289" t="s">
        <v>323</v>
      </c>
      <c r="B76" s="76" t="s">
        <v>286</v>
      </c>
      <c r="C76" s="129" t="s">
        <v>276</v>
      </c>
      <c r="D76" s="96" t="s">
        <v>269</v>
      </c>
      <c r="E76" s="131">
        <v>1</v>
      </c>
      <c r="F76" s="133">
        <f>F28</f>
        <v>13998.2</v>
      </c>
      <c r="G76" s="78">
        <f t="shared" ref="G76:G77" si="10">F76*E76</f>
        <v>13998.2</v>
      </c>
      <c r="H76" s="205">
        <f t="shared" ref="H76:H78" si="11">G76*12</f>
        <v>167978.4</v>
      </c>
    </row>
    <row r="77" spans="1:8" ht="75" x14ac:dyDescent="0.25">
      <c r="A77" s="297"/>
      <c r="B77" s="76" t="s">
        <v>286</v>
      </c>
      <c r="C77" s="206" t="s">
        <v>277</v>
      </c>
      <c r="D77" s="96" t="s">
        <v>270</v>
      </c>
      <c r="E77" s="131">
        <v>1</v>
      </c>
      <c r="F77" s="133">
        <f>F29</f>
        <v>15577.56</v>
      </c>
      <c r="G77" s="78">
        <f t="shared" si="10"/>
        <v>15577.56</v>
      </c>
      <c r="H77" s="205">
        <f t="shared" si="11"/>
        <v>186930.72</v>
      </c>
    </row>
    <row r="78" spans="1:8" ht="18.75" x14ac:dyDescent="0.25">
      <c r="A78" s="282" t="s">
        <v>235</v>
      </c>
      <c r="B78" s="283"/>
      <c r="C78" s="283"/>
      <c r="D78" s="283"/>
      <c r="E78" s="283"/>
      <c r="F78" s="283"/>
      <c r="G78" s="79">
        <f>SUM(G76:G77)</f>
        <v>29575.759999999998</v>
      </c>
      <c r="H78" s="209">
        <f t="shared" si="11"/>
        <v>354909.12</v>
      </c>
    </row>
    <row r="79" spans="1:8" x14ac:dyDescent="0.25">
      <c r="A79" s="210"/>
      <c r="B79" s="211"/>
      <c r="C79" s="211"/>
      <c r="D79" s="211"/>
      <c r="E79" s="211"/>
      <c r="F79" s="211"/>
      <c r="G79" s="211"/>
      <c r="H79" s="212"/>
    </row>
    <row r="80" spans="1:8" ht="19.5" thickBot="1" x14ac:dyDescent="0.3">
      <c r="A80" s="265" t="s">
        <v>313</v>
      </c>
      <c r="B80" s="266"/>
      <c r="C80" s="266"/>
      <c r="D80" s="266"/>
      <c r="E80" s="266"/>
      <c r="F80" s="266"/>
      <c r="G80" s="143">
        <f xml:space="preserve"> G78</f>
        <v>29575.759999999998</v>
      </c>
      <c r="H80" s="213">
        <f xml:space="preserve"> H78</f>
        <v>354909.12</v>
      </c>
    </row>
    <row r="81" spans="1:8" ht="27" customHeight="1" thickBot="1" x14ac:dyDescent="0.3">
      <c r="A81" s="267" t="s">
        <v>332</v>
      </c>
      <c r="B81" s="268"/>
      <c r="C81" s="268"/>
      <c r="D81" s="268"/>
      <c r="E81" s="268"/>
      <c r="F81" s="268"/>
      <c r="G81" s="268"/>
      <c r="H81" s="269"/>
    </row>
    <row r="82" spans="1:8" x14ac:dyDescent="0.25">
      <c r="A82" s="270" t="s">
        <v>358</v>
      </c>
      <c r="B82" s="271"/>
      <c r="C82" s="271"/>
      <c r="D82" s="271"/>
      <c r="E82" s="271"/>
      <c r="F82" s="271"/>
      <c r="G82" s="271"/>
      <c r="H82" s="272"/>
    </row>
    <row r="83" spans="1:8" x14ac:dyDescent="0.25">
      <c r="A83" s="273"/>
      <c r="B83" s="274"/>
      <c r="C83" s="274"/>
      <c r="D83" s="274"/>
      <c r="E83" s="274"/>
      <c r="F83" s="274"/>
      <c r="G83" s="274"/>
      <c r="H83" s="275"/>
    </row>
    <row r="84" spans="1:8" x14ac:dyDescent="0.25">
      <c r="A84" s="273"/>
      <c r="B84" s="274"/>
      <c r="C84" s="274"/>
      <c r="D84" s="274"/>
      <c r="E84" s="274"/>
      <c r="F84" s="274"/>
      <c r="G84" s="274"/>
      <c r="H84" s="275"/>
    </row>
    <row r="85" spans="1:8" x14ac:dyDescent="0.25">
      <c r="A85" s="273"/>
      <c r="B85" s="274"/>
      <c r="C85" s="274"/>
      <c r="D85" s="274"/>
      <c r="E85" s="274"/>
      <c r="F85" s="274"/>
      <c r="G85" s="274"/>
      <c r="H85" s="275"/>
    </row>
    <row r="86" spans="1:8" ht="25.5" customHeight="1" x14ac:dyDescent="0.25">
      <c r="A86" s="294" t="s">
        <v>322</v>
      </c>
      <c r="B86" s="295"/>
      <c r="C86" s="295"/>
      <c r="D86" s="295"/>
      <c r="E86" s="295"/>
      <c r="F86" s="295"/>
      <c r="G86" s="295"/>
      <c r="H86" s="296"/>
    </row>
    <row r="87" spans="1:8" ht="45" x14ac:dyDescent="0.25">
      <c r="A87" s="203" t="s">
        <v>126</v>
      </c>
      <c r="B87" s="77" t="s">
        <v>125</v>
      </c>
      <c r="C87" s="77" t="s">
        <v>127</v>
      </c>
      <c r="D87" s="77" t="s">
        <v>266</v>
      </c>
      <c r="E87" s="77" t="s">
        <v>281</v>
      </c>
      <c r="F87" s="77" t="s">
        <v>284</v>
      </c>
      <c r="G87" s="77" t="s">
        <v>282</v>
      </c>
      <c r="H87" s="204" t="s">
        <v>283</v>
      </c>
    </row>
    <row r="88" spans="1:8" ht="60" x14ac:dyDescent="0.25">
      <c r="A88" s="289" t="s">
        <v>324</v>
      </c>
      <c r="B88" s="76" t="s">
        <v>286</v>
      </c>
      <c r="C88" s="129" t="s">
        <v>276</v>
      </c>
      <c r="D88" s="96" t="s">
        <v>269</v>
      </c>
      <c r="E88" s="131">
        <v>1</v>
      </c>
      <c r="F88" s="133">
        <f>' VIG. DIURNO-ARM. 2ª a DOM.INT.'!E109</f>
        <v>13998.2</v>
      </c>
      <c r="G88" s="78">
        <f t="shared" ref="G88:G89" si="12">F88*E88</f>
        <v>13998.2</v>
      </c>
      <c r="H88" s="205">
        <f t="shared" ref="H88:H90" si="13">G88*12</f>
        <v>167978.4</v>
      </c>
    </row>
    <row r="89" spans="1:8" ht="75" x14ac:dyDescent="0.25">
      <c r="A89" s="297"/>
      <c r="B89" s="76" t="s">
        <v>286</v>
      </c>
      <c r="C89" s="206" t="s">
        <v>277</v>
      </c>
      <c r="D89" s="96" t="s">
        <v>270</v>
      </c>
      <c r="E89" s="131">
        <v>1</v>
      </c>
      <c r="F89" s="133">
        <f>'VIG. NOTURNO-ARM. 2ª a DOM.INT.'!E109</f>
        <v>15577.56</v>
      </c>
      <c r="G89" s="78">
        <f t="shared" si="12"/>
        <v>15577.56</v>
      </c>
      <c r="H89" s="205">
        <f t="shared" si="13"/>
        <v>186930.72</v>
      </c>
    </row>
    <row r="90" spans="1:8" ht="18.75" x14ac:dyDescent="0.25">
      <c r="A90" s="282" t="s">
        <v>235</v>
      </c>
      <c r="B90" s="283"/>
      <c r="C90" s="283"/>
      <c r="D90" s="283"/>
      <c r="E90" s="283"/>
      <c r="F90" s="283"/>
      <c r="G90" s="79">
        <f>SUM(G88:G89)</f>
        <v>29575.759999999998</v>
      </c>
      <c r="H90" s="209">
        <f t="shared" si="13"/>
        <v>354909.12</v>
      </c>
    </row>
    <row r="91" spans="1:8" x14ac:dyDescent="0.25">
      <c r="A91" s="210"/>
      <c r="B91" s="211"/>
      <c r="C91" s="211"/>
      <c r="D91" s="211"/>
      <c r="E91" s="211"/>
      <c r="F91" s="211"/>
      <c r="G91" s="211"/>
      <c r="H91" s="212"/>
    </row>
    <row r="92" spans="1:8" ht="19.5" thickBot="1" x14ac:dyDescent="0.3">
      <c r="A92" s="298" t="s">
        <v>325</v>
      </c>
      <c r="B92" s="299"/>
      <c r="C92" s="299"/>
      <c r="D92" s="299"/>
      <c r="E92" s="299"/>
      <c r="F92" s="299"/>
      <c r="G92" s="214">
        <f xml:space="preserve"> G90</f>
        <v>29575.759999999998</v>
      </c>
      <c r="H92" s="215">
        <f xml:space="preserve"> H90</f>
        <v>354909.12</v>
      </c>
    </row>
    <row r="95" spans="1:8" x14ac:dyDescent="0.25">
      <c r="G95" s="126"/>
      <c r="H95" s="126"/>
    </row>
  </sheetData>
  <mergeCells count="45">
    <mergeCell ref="A88:A89"/>
    <mergeCell ref="A90:F90"/>
    <mergeCell ref="A92:F92"/>
    <mergeCell ref="A78:F78"/>
    <mergeCell ref="A80:F80"/>
    <mergeCell ref="A81:H81"/>
    <mergeCell ref="A82:H85"/>
    <mergeCell ref="A86:H86"/>
    <mergeCell ref="A68:F68"/>
    <mergeCell ref="A69:H69"/>
    <mergeCell ref="A70:H73"/>
    <mergeCell ref="A74:H74"/>
    <mergeCell ref="A76:A77"/>
    <mergeCell ref="A57:H57"/>
    <mergeCell ref="A58:H61"/>
    <mergeCell ref="A62:H62"/>
    <mergeCell ref="A64:A65"/>
    <mergeCell ref="A66:F66"/>
    <mergeCell ref="A45:H48"/>
    <mergeCell ref="A49:H49"/>
    <mergeCell ref="A51:A52"/>
    <mergeCell ref="A53:F53"/>
    <mergeCell ref="A55:F55"/>
    <mergeCell ref="A38:H38"/>
    <mergeCell ref="A40:A41"/>
    <mergeCell ref="A42:F42"/>
    <mergeCell ref="A43:F43"/>
    <mergeCell ref="A44:H44"/>
    <mergeCell ref="A34:H37"/>
    <mergeCell ref="A22:H25"/>
    <mergeCell ref="A26:H26"/>
    <mergeCell ref="A28:A29"/>
    <mergeCell ref="A30:F30"/>
    <mergeCell ref="A16:F16"/>
    <mergeCell ref="A32:F32"/>
    <mergeCell ref="A2:H2"/>
    <mergeCell ref="A21:H21"/>
    <mergeCell ref="A33:H33"/>
    <mergeCell ref="A3:H6"/>
    <mergeCell ref="A7:H7"/>
    <mergeCell ref="A17:F17"/>
    <mergeCell ref="A19:F19"/>
    <mergeCell ref="A9:A12"/>
    <mergeCell ref="A14:A15"/>
    <mergeCell ref="A13:F13"/>
  </mergeCells>
  <pageMargins left="0.511811024" right="0.511811024" top="0.78740157499999996" bottom="0.78740157499999996" header="0.31496062000000002" footer="0.31496062000000002"/>
  <pageSetup paperSize="9" scale="70" fitToHeight="0"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39997558519241921"/>
    <pageSetUpPr fitToPage="1"/>
  </sheetPr>
  <dimension ref="A1:J111"/>
  <sheetViews>
    <sheetView topLeftCell="A88" zoomScale="120" zoomScaleNormal="120" workbookViewId="0">
      <selection activeCell="E100" sqref="E100"/>
    </sheetView>
  </sheetViews>
  <sheetFormatPr defaultRowHeight="15" x14ac:dyDescent="0.25"/>
  <cols>
    <col min="1" max="1" width="11.140625" customWidth="1"/>
    <col min="2" max="2" width="47.42578125" customWidth="1"/>
    <col min="3" max="3" width="27.140625" customWidth="1"/>
    <col min="4" max="4" width="22.140625" customWidth="1"/>
    <col min="5" max="5" width="26.42578125" customWidth="1"/>
    <col min="6" max="6" width="12.42578125" customWidth="1"/>
    <col min="7" max="7" width="32" customWidth="1"/>
    <col min="8" max="8" width="20.42578125" customWidth="1"/>
    <col min="9" max="9" width="15" customWidth="1"/>
    <col min="10" max="10" width="12.28515625" customWidth="1"/>
  </cols>
  <sheetData>
    <row r="1" spans="1:10" ht="21" x14ac:dyDescent="0.25">
      <c r="A1" s="300" t="s">
        <v>246</v>
      </c>
      <c r="B1" s="301"/>
      <c r="C1" s="301"/>
      <c r="D1" s="301"/>
      <c r="E1" s="302"/>
    </row>
    <row r="2" spans="1:10" x14ac:dyDescent="0.25">
      <c r="A2" s="303" t="s">
        <v>287</v>
      </c>
      <c r="B2" s="304"/>
      <c r="C2" s="304"/>
      <c r="D2" s="304"/>
      <c r="E2" s="305"/>
    </row>
    <row r="3" spans="1:10" x14ac:dyDescent="0.25">
      <c r="A3" s="37" t="s">
        <v>0</v>
      </c>
      <c r="B3" s="103" t="s">
        <v>1</v>
      </c>
      <c r="C3" s="306" t="s">
        <v>366</v>
      </c>
      <c r="D3" s="306"/>
      <c r="E3" s="307"/>
    </row>
    <row r="4" spans="1:10" x14ac:dyDescent="0.25">
      <c r="A4" s="37" t="s">
        <v>2</v>
      </c>
      <c r="B4" s="103" t="s">
        <v>125</v>
      </c>
      <c r="C4" s="308" t="s">
        <v>182</v>
      </c>
      <c r="D4" s="308"/>
      <c r="E4" s="309"/>
    </row>
    <row r="5" spans="1:10" ht="25.5" x14ac:dyDescent="0.25">
      <c r="A5" s="37" t="s">
        <v>3</v>
      </c>
      <c r="B5" s="103" t="s">
        <v>4</v>
      </c>
      <c r="C5" s="308" t="s">
        <v>340</v>
      </c>
      <c r="D5" s="308"/>
      <c r="E5" s="309"/>
    </row>
    <row r="6" spans="1:10" x14ac:dyDescent="0.25">
      <c r="A6" s="37" t="s">
        <v>5</v>
      </c>
      <c r="B6" s="103" t="s">
        <v>133</v>
      </c>
      <c r="C6" s="308">
        <v>12</v>
      </c>
      <c r="D6" s="308"/>
      <c r="E6" s="309"/>
    </row>
    <row r="7" spans="1:10" x14ac:dyDescent="0.25">
      <c r="A7" s="321" t="s">
        <v>336</v>
      </c>
      <c r="B7" s="322"/>
      <c r="C7" s="322"/>
      <c r="D7" s="322"/>
      <c r="E7" s="323"/>
    </row>
    <row r="8" spans="1:10" x14ac:dyDescent="0.25">
      <c r="A8" s="324" t="s">
        <v>7</v>
      </c>
      <c r="B8" s="325"/>
      <c r="C8" s="325"/>
      <c r="D8" s="325"/>
      <c r="E8" s="326"/>
    </row>
    <row r="9" spans="1:10" x14ac:dyDescent="0.25">
      <c r="A9" s="324" t="s">
        <v>235</v>
      </c>
      <c r="B9" s="327"/>
      <c r="C9" s="327"/>
      <c r="D9" s="327"/>
      <c r="E9" s="328"/>
    </row>
    <row r="10" spans="1:10" ht="25.5" x14ac:dyDescent="0.25">
      <c r="A10" s="37">
        <v>1</v>
      </c>
      <c r="B10" s="40" t="s">
        <v>124</v>
      </c>
      <c r="C10" s="329" t="s">
        <v>379</v>
      </c>
      <c r="D10" s="329"/>
      <c r="E10" s="330"/>
    </row>
    <row r="11" spans="1:10" x14ac:dyDescent="0.25">
      <c r="A11" s="37">
        <v>2</v>
      </c>
      <c r="B11" s="331" t="s">
        <v>9</v>
      </c>
      <c r="C11" s="331"/>
      <c r="D11" s="331"/>
      <c r="E11" s="198">
        <v>1695.43</v>
      </c>
    </row>
    <row r="12" spans="1:10" x14ac:dyDescent="0.25">
      <c r="A12" s="37">
        <v>3</v>
      </c>
      <c r="B12" s="40" t="s">
        <v>10</v>
      </c>
      <c r="C12" s="329" t="s">
        <v>252</v>
      </c>
      <c r="D12" s="329"/>
      <c r="E12" s="330"/>
    </row>
    <row r="13" spans="1:10" x14ac:dyDescent="0.25">
      <c r="A13" s="37">
        <v>4</v>
      </c>
      <c r="B13" s="310" t="s">
        <v>11</v>
      </c>
      <c r="C13" s="310"/>
      <c r="D13" s="310"/>
      <c r="E13" s="221" t="s">
        <v>341</v>
      </c>
    </row>
    <row r="14" spans="1:10" x14ac:dyDescent="0.25">
      <c r="A14" s="311" t="s">
        <v>12</v>
      </c>
      <c r="B14" s="312"/>
      <c r="C14" s="312"/>
      <c r="D14" s="312"/>
      <c r="E14" s="313"/>
      <c r="I14" s="125"/>
      <c r="J14" s="125"/>
    </row>
    <row r="15" spans="1:10" x14ac:dyDescent="0.25">
      <c r="A15" s="80">
        <v>1</v>
      </c>
      <c r="B15" s="314" t="s">
        <v>13</v>
      </c>
      <c r="C15" s="315"/>
      <c r="D15" s="315"/>
      <c r="E15" s="39" t="s">
        <v>8</v>
      </c>
      <c r="J15" s="125"/>
    </row>
    <row r="16" spans="1:10" x14ac:dyDescent="0.25">
      <c r="A16" s="48" t="s">
        <v>0</v>
      </c>
      <c r="B16" s="49" t="s">
        <v>14</v>
      </c>
      <c r="C16" s="316"/>
      <c r="D16" s="316"/>
      <c r="E16" s="50">
        <f>+E11</f>
        <v>1695.43</v>
      </c>
    </row>
    <row r="17" spans="1:8" x14ac:dyDescent="0.25">
      <c r="A17" s="48" t="s">
        <v>2</v>
      </c>
      <c r="B17" s="52" t="s">
        <v>204</v>
      </c>
      <c r="C17" s="150">
        <v>0</v>
      </c>
      <c r="D17" s="107">
        <v>1412</v>
      </c>
      <c r="E17" s="199">
        <f>D17*C17</f>
        <v>0</v>
      </c>
      <c r="G17" t="s">
        <v>264</v>
      </c>
    </row>
    <row r="18" spans="1:8" ht="17.25" customHeight="1" x14ac:dyDescent="0.25">
      <c r="A18" s="48" t="s">
        <v>3</v>
      </c>
      <c r="B18" s="49" t="s">
        <v>16</v>
      </c>
      <c r="C18" s="317">
        <v>0</v>
      </c>
      <c r="D18" s="318"/>
      <c r="E18" s="199">
        <f>0</f>
        <v>0</v>
      </c>
      <c r="G18" t="s">
        <v>259</v>
      </c>
      <c r="H18">
        <v>365</v>
      </c>
    </row>
    <row r="19" spans="1:8" ht="14.25" customHeight="1" x14ac:dyDescent="0.25">
      <c r="A19" s="48" t="s">
        <v>123</v>
      </c>
      <c r="B19" s="319" t="s">
        <v>210</v>
      </c>
      <c r="C19" s="320"/>
      <c r="D19" s="320"/>
      <c r="E19" s="51">
        <f>SUM(E16:E18)</f>
        <v>1695.43</v>
      </c>
      <c r="G19" t="s">
        <v>261</v>
      </c>
      <c r="H19">
        <f>H18*50%</f>
        <v>182.5</v>
      </c>
    </row>
    <row r="20" spans="1:8" ht="19.5" customHeight="1" x14ac:dyDescent="0.25">
      <c r="A20" s="48" t="s">
        <v>5</v>
      </c>
      <c r="B20" s="49" t="s">
        <v>15</v>
      </c>
      <c r="C20" s="110">
        <v>0.3</v>
      </c>
      <c r="D20" s="111">
        <f>E19</f>
        <v>1695.43</v>
      </c>
      <c r="E20" s="199">
        <f>D20*C20</f>
        <v>508.63</v>
      </c>
      <c r="G20" t="s">
        <v>265</v>
      </c>
      <c r="H20" s="87">
        <f>H19/12</f>
        <v>15.21</v>
      </c>
    </row>
    <row r="21" spans="1:8" x14ac:dyDescent="0.25">
      <c r="A21" s="335" t="s">
        <v>20</v>
      </c>
      <c r="B21" s="336"/>
      <c r="C21" s="336"/>
      <c r="D21" s="336"/>
      <c r="E21" s="54">
        <f>SUM(E19:E20)</f>
        <v>2204.06</v>
      </c>
    </row>
    <row r="22" spans="1:8" x14ac:dyDescent="0.25">
      <c r="A22" s="311" t="s">
        <v>45</v>
      </c>
      <c r="B22" s="312"/>
      <c r="C22" s="312"/>
      <c r="D22" s="312"/>
      <c r="E22" s="313"/>
      <c r="G22" s="128"/>
    </row>
    <row r="23" spans="1:8" x14ac:dyDescent="0.25">
      <c r="A23" s="80" t="s">
        <v>134</v>
      </c>
      <c r="B23" s="314" t="s">
        <v>135</v>
      </c>
      <c r="C23" s="315"/>
      <c r="D23" s="315"/>
      <c r="E23" s="39" t="s">
        <v>8</v>
      </c>
    </row>
    <row r="24" spans="1:8" x14ac:dyDescent="0.25">
      <c r="A24" s="56" t="s">
        <v>0</v>
      </c>
      <c r="B24" s="337" t="s">
        <v>27</v>
      </c>
      <c r="C24" s="337"/>
      <c r="D24" s="58">
        <f>1/12</f>
        <v>8.3299999999999999E-2</v>
      </c>
      <c r="E24" s="46">
        <f>ROUND(+$E$21*D24,2)</f>
        <v>183.6</v>
      </c>
    </row>
    <row r="25" spans="1:8" x14ac:dyDescent="0.25">
      <c r="A25" s="56" t="s">
        <v>2</v>
      </c>
      <c r="B25" s="337" t="s">
        <v>136</v>
      </c>
      <c r="C25" s="337"/>
      <c r="D25" s="58">
        <v>0.1111</v>
      </c>
      <c r="E25" s="46">
        <f>ROUND(+$E$21*D25,2)</f>
        <v>244.87</v>
      </c>
    </row>
    <row r="26" spans="1:8" x14ac:dyDescent="0.25">
      <c r="A26" s="335" t="s">
        <v>25</v>
      </c>
      <c r="B26" s="336"/>
      <c r="C26" s="338"/>
      <c r="D26" s="59">
        <f>SUM(D24:D25)</f>
        <v>0.19439999999999999</v>
      </c>
      <c r="E26" s="54">
        <f>SUM(E24:E25)</f>
        <v>428.47</v>
      </c>
    </row>
    <row r="27" spans="1:8" ht="29.25" customHeight="1" x14ac:dyDescent="0.25">
      <c r="A27" s="332" t="s">
        <v>137</v>
      </c>
      <c r="B27" s="333"/>
      <c r="C27" s="333"/>
      <c r="D27" s="333"/>
      <c r="E27" s="334"/>
    </row>
    <row r="28" spans="1:8" x14ac:dyDescent="0.25">
      <c r="A28" s="80" t="s">
        <v>138</v>
      </c>
      <c r="B28" s="314" t="s">
        <v>23</v>
      </c>
      <c r="C28" s="315"/>
      <c r="D28" s="315"/>
      <c r="E28" s="39" t="s">
        <v>8</v>
      </c>
      <c r="G28" s="222" t="s">
        <v>263</v>
      </c>
      <c r="H28" s="222"/>
    </row>
    <row r="29" spans="1:8" x14ac:dyDescent="0.25">
      <c r="A29" s="56" t="s">
        <v>0</v>
      </c>
      <c r="B29" s="310" t="s">
        <v>139</v>
      </c>
      <c r="C29" s="310"/>
      <c r="D29" s="58">
        <v>0.2</v>
      </c>
      <c r="E29" s="46">
        <f>(E21+E26)*D29</f>
        <v>526.51</v>
      </c>
      <c r="G29" s="222" t="s">
        <v>259</v>
      </c>
      <c r="H29" s="222">
        <v>365</v>
      </c>
    </row>
    <row r="30" spans="1:8" x14ac:dyDescent="0.25">
      <c r="A30" s="56" t="s">
        <v>2</v>
      </c>
      <c r="B30" s="310" t="s">
        <v>140</v>
      </c>
      <c r="C30" s="310"/>
      <c r="D30" s="58">
        <v>1.4999999999999999E-2</v>
      </c>
      <c r="E30" s="46">
        <f>(E21+E26)*D30</f>
        <v>39.49</v>
      </c>
      <c r="G30" s="222" t="s">
        <v>257</v>
      </c>
      <c r="H30" s="222">
        <v>52</v>
      </c>
    </row>
    <row r="31" spans="1:8" x14ac:dyDescent="0.25">
      <c r="A31" s="56" t="s">
        <v>3</v>
      </c>
      <c r="B31" s="310" t="s">
        <v>240</v>
      </c>
      <c r="C31" s="310"/>
      <c r="D31" s="58">
        <v>0.01</v>
      </c>
      <c r="E31" s="46">
        <f>(E21+E26)*D31</f>
        <v>26.33</v>
      </c>
      <c r="G31" s="222" t="s">
        <v>258</v>
      </c>
      <c r="H31" s="222">
        <v>52</v>
      </c>
    </row>
    <row r="32" spans="1:8" x14ac:dyDescent="0.25">
      <c r="A32" s="56" t="s">
        <v>5</v>
      </c>
      <c r="B32" s="310" t="s">
        <v>142</v>
      </c>
      <c r="C32" s="310"/>
      <c r="D32" s="58">
        <v>2E-3</v>
      </c>
      <c r="E32" s="46">
        <f>(E21+E26)*D32</f>
        <v>5.27</v>
      </c>
      <c r="G32" s="222"/>
      <c r="H32" s="222"/>
    </row>
    <row r="33" spans="1:9" ht="15" customHeight="1" x14ac:dyDescent="0.25">
      <c r="A33" s="56" t="s">
        <v>17</v>
      </c>
      <c r="B33" s="310" t="s">
        <v>241</v>
      </c>
      <c r="C33" s="310"/>
      <c r="D33" s="58">
        <v>2.5000000000000001E-2</v>
      </c>
      <c r="E33" s="46">
        <f>(E21+E26)*D33</f>
        <v>65.81</v>
      </c>
      <c r="G33" s="223" t="s">
        <v>260</v>
      </c>
      <c r="H33" s="222">
        <f>H29-H30-H31</f>
        <v>261</v>
      </c>
    </row>
    <row r="34" spans="1:9" x14ac:dyDescent="0.25">
      <c r="A34" s="56" t="s">
        <v>18</v>
      </c>
      <c r="B34" s="310" t="s">
        <v>144</v>
      </c>
      <c r="C34" s="310"/>
      <c r="D34" s="58">
        <v>0.08</v>
      </c>
      <c r="E34" s="46">
        <f>(E21+E26)*D34</f>
        <v>210.6</v>
      </c>
      <c r="G34" s="222" t="s">
        <v>261</v>
      </c>
      <c r="H34" s="222">
        <f>H33*50%</f>
        <v>130.5</v>
      </c>
    </row>
    <row r="35" spans="1:9" x14ac:dyDescent="0.25">
      <c r="A35" s="56" t="s">
        <v>19</v>
      </c>
      <c r="B35" s="310" t="s">
        <v>145</v>
      </c>
      <c r="C35" s="310"/>
      <c r="D35" s="58">
        <v>0.06</v>
      </c>
      <c r="E35" s="46">
        <f>(E21+E26)*D35</f>
        <v>157.94999999999999</v>
      </c>
      <c r="G35" s="222" t="s">
        <v>262</v>
      </c>
      <c r="H35" s="222">
        <f>H34/12</f>
        <v>10.875</v>
      </c>
    </row>
    <row r="36" spans="1:9" x14ac:dyDescent="0.25">
      <c r="A36" s="63" t="s">
        <v>24</v>
      </c>
      <c r="B36" s="339" t="s">
        <v>146</v>
      </c>
      <c r="C36" s="339"/>
      <c r="D36" s="66">
        <v>6.0000000000000001E-3</v>
      </c>
      <c r="E36" s="55">
        <f>(E21+E26)*D36</f>
        <v>15.8</v>
      </c>
      <c r="G36" s="222"/>
      <c r="H36" s="222"/>
    </row>
    <row r="37" spans="1:9" x14ac:dyDescent="0.25">
      <c r="A37" s="335" t="s">
        <v>25</v>
      </c>
      <c r="B37" s="336"/>
      <c r="C37" s="338"/>
      <c r="D37" s="59">
        <f>SUM(D29:D36)</f>
        <v>0.39800000000000002</v>
      </c>
      <c r="E37" s="54">
        <f>SUM(E29:E36)</f>
        <v>1047.76</v>
      </c>
      <c r="G37" s="222"/>
      <c r="H37" s="222">
        <f>H35*2</f>
        <v>21.75</v>
      </c>
    </row>
    <row r="38" spans="1:9" x14ac:dyDescent="0.25">
      <c r="A38" s="80" t="s">
        <v>147</v>
      </c>
      <c r="B38" s="314" t="s">
        <v>148</v>
      </c>
      <c r="C38" s="315"/>
      <c r="D38" s="315"/>
      <c r="E38" s="39" t="s">
        <v>8</v>
      </c>
    </row>
    <row r="39" spans="1:9" x14ac:dyDescent="0.25">
      <c r="A39" s="56" t="s">
        <v>0</v>
      </c>
      <c r="B39" s="337" t="s">
        <v>349</v>
      </c>
      <c r="C39" s="337"/>
      <c r="D39" s="98">
        <v>6</v>
      </c>
      <c r="E39" s="200">
        <f>(D39*21.75)-(E16*0.06)</f>
        <v>28.77</v>
      </c>
      <c r="I39" s="125"/>
    </row>
    <row r="40" spans="1:9" ht="24" customHeight="1" x14ac:dyDescent="0.25">
      <c r="A40" s="56" t="s">
        <v>2</v>
      </c>
      <c r="B40" s="337" t="s">
        <v>343</v>
      </c>
      <c r="C40" s="337"/>
      <c r="D40" s="89">
        <v>41</v>
      </c>
      <c r="E40" s="50">
        <f>(D40*10.87)-(D40*10.87*1%)</f>
        <v>441.21</v>
      </c>
      <c r="I40" s="125"/>
    </row>
    <row r="41" spans="1:9" x14ac:dyDescent="0.25">
      <c r="A41" s="56" t="s">
        <v>3</v>
      </c>
      <c r="B41" s="337" t="s">
        <v>344</v>
      </c>
      <c r="C41" s="337"/>
      <c r="D41" s="92"/>
      <c r="E41" s="50">
        <f>((E11*16%) -(E11*1%))/12</f>
        <v>21.19</v>
      </c>
    </row>
    <row r="42" spans="1:9" ht="15" customHeight="1" x14ac:dyDescent="0.25">
      <c r="A42" s="56" t="s">
        <v>5</v>
      </c>
      <c r="B42" s="337" t="s">
        <v>345</v>
      </c>
      <c r="C42" s="337"/>
      <c r="D42" s="85">
        <v>14.16</v>
      </c>
      <c r="E42" s="200">
        <f>D42</f>
        <v>14.16</v>
      </c>
      <c r="H42" s="125"/>
    </row>
    <row r="43" spans="1:9" x14ac:dyDescent="0.25">
      <c r="A43" s="56" t="s">
        <v>17</v>
      </c>
      <c r="B43" s="337" t="s">
        <v>346</v>
      </c>
      <c r="C43" s="337"/>
      <c r="D43" s="85"/>
      <c r="E43" s="200">
        <f>(((E16+E20)*26+((E16)*5))/1000*0.21)</f>
        <v>13.81</v>
      </c>
      <c r="H43" s="125"/>
    </row>
    <row r="44" spans="1:9" ht="15.6" customHeight="1" x14ac:dyDescent="0.25">
      <c r="A44" s="335" t="s">
        <v>21</v>
      </c>
      <c r="B44" s="336"/>
      <c r="C44" s="336"/>
      <c r="D44" s="336"/>
      <c r="E44" s="54">
        <f>SUM(E39:E43)</f>
        <v>519.14</v>
      </c>
      <c r="H44" s="125"/>
    </row>
    <row r="45" spans="1:9" x14ac:dyDescent="0.25">
      <c r="A45" s="311" t="s">
        <v>150</v>
      </c>
      <c r="B45" s="312"/>
      <c r="C45" s="312"/>
      <c r="D45" s="312"/>
      <c r="E45" s="46"/>
      <c r="H45" s="125"/>
    </row>
    <row r="46" spans="1:9" x14ac:dyDescent="0.25">
      <c r="A46" s="80" t="s">
        <v>134</v>
      </c>
      <c r="B46" s="314" t="s">
        <v>151</v>
      </c>
      <c r="C46" s="315"/>
      <c r="D46" s="315"/>
      <c r="E46" s="47">
        <f>E26</f>
        <v>428.47</v>
      </c>
      <c r="H46" s="125"/>
    </row>
    <row r="47" spans="1:9" x14ac:dyDescent="0.25">
      <c r="A47" s="80" t="s">
        <v>138</v>
      </c>
      <c r="B47" s="337" t="s">
        <v>250</v>
      </c>
      <c r="C47" s="337"/>
      <c r="D47" s="337"/>
      <c r="E47" s="46">
        <f>E37</f>
        <v>1047.76</v>
      </c>
    </row>
    <row r="48" spans="1:9" x14ac:dyDescent="0.25">
      <c r="A48" s="80" t="s">
        <v>147</v>
      </c>
      <c r="B48" s="337" t="s">
        <v>153</v>
      </c>
      <c r="C48" s="337"/>
      <c r="D48" s="337"/>
      <c r="E48" s="46">
        <f>E44</f>
        <v>519.14</v>
      </c>
    </row>
    <row r="49" spans="1:6" x14ac:dyDescent="0.25">
      <c r="A49" s="335" t="s">
        <v>25</v>
      </c>
      <c r="B49" s="336"/>
      <c r="C49" s="338"/>
      <c r="D49" s="68" t="s">
        <v>123</v>
      </c>
      <c r="E49" s="54">
        <f>SUM(E46:E48)</f>
        <v>1995.37</v>
      </c>
    </row>
    <row r="50" spans="1:6" x14ac:dyDescent="0.25">
      <c r="A50" s="311" t="s">
        <v>154</v>
      </c>
      <c r="B50" s="312"/>
      <c r="C50" s="312"/>
      <c r="D50" s="312"/>
      <c r="E50" s="313"/>
    </row>
    <row r="51" spans="1:6" x14ac:dyDescent="0.25">
      <c r="A51" s="80" t="s">
        <v>155</v>
      </c>
      <c r="B51" s="314" t="s">
        <v>28</v>
      </c>
      <c r="C51" s="315"/>
      <c r="D51" s="315"/>
      <c r="E51" s="39" t="s">
        <v>8</v>
      </c>
    </row>
    <row r="52" spans="1:6" x14ac:dyDescent="0.25">
      <c r="A52" s="56" t="s">
        <v>0</v>
      </c>
      <c r="B52" s="337" t="s">
        <v>156</v>
      </c>
      <c r="C52" s="337"/>
      <c r="D52" s="58">
        <v>4.5999999999999999E-3</v>
      </c>
      <c r="E52" s="46">
        <f t="shared" ref="E52:E55" si="0">ROUND(+D52*$E$21,2)</f>
        <v>10.14</v>
      </c>
    </row>
    <row r="53" spans="1:6" x14ac:dyDescent="0.25">
      <c r="A53" s="56" t="s">
        <v>2</v>
      </c>
      <c r="B53" s="337" t="s">
        <v>157</v>
      </c>
      <c r="C53" s="337"/>
      <c r="D53" s="58">
        <f>D34*D52</f>
        <v>4.0000000000000002E-4</v>
      </c>
      <c r="E53" s="46">
        <f t="shared" si="0"/>
        <v>0.88</v>
      </c>
    </row>
    <row r="54" spans="1:6" x14ac:dyDescent="0.25">
      <c r="A54" s="56" t="s">
        <v>3</v>
      </c>
      <c r="B54" s="310" t="s">
        <v>29</v>
      </c>
      <c r="C54" s="310"/>
      <c r="D54" s="58">
        <v>1.9400000000000001E-2</v>
      </c>
      <c r="E54" s="46">
        <f t="shared" si="0"/>
        <v>42.76</v>
      </c>
    </row>
    <row r="55" spans="1:6" x14ac:dyDescent="0.25">
      <c r="A55" s="56" t="s">
        <v>5</v>
      </c>
      <c r="B55" s="337" t="s">
        <v>158</v>
      </c>
      <c r="C55" s="337"/>
      <c r="D55" s="58">
        <f>D37*D54</f>
        <v>7.7000000000000002E-3</v>
      </c>
      <c r="E55" s="46">
        <f t="shared" si="0"/>
        <v>16.97</v>
      </c>
    </row>
    <row r="56" spans="1:6" ht="33" customHeight="1" x14ac:dyDescent="0.25">
      <c r="A56" s="56" t="s">
        <v>17</v>
      </c>
      <c r="B56" s="337" t="s">
        <v>211</v>
      </c>
      <c r="C56" s="337"/>
      <c r="D56" s="58">
        <f>4%</f>
        <v>0.04</v>
      </c>
      <c r="E56" s="46">
        <f>ROUND(+D56*$E$21,2)</f>
        <v>88.16</v>
      </c>
    </row>
    <row r="57" spans="1:6" x14ac:dyDescent="0.25">
      <c r="A57" s="335" t="s">
        <v>25</v>
      </c>
      <c r="B57" s="336"/>
      <c r="C57" s="336"/>
      <c r="D57" s="70">
        <f>SUM(D52:D56)</f>
        <v>7.2099999999999997E-2</v>
      </c>
      <c r="E57" s="54">
        <f>SUM(E52:E56)</f>
        <v>158.91</v>
      </c>
    </row>
    <row r="58" spans="1:6" x14ac:dyDescent="0.25">
      <c r="A58" s="311" t="s">
        <v>159</v>
      </c>
      <c r="B58" s="312"/>
      <c r="C58" s="312"/>
      <c r="D58" s="312"/>
      <c r="E58" s="313"/>
    </row>
    <row r="59" spans="1:6" x14ac:dyDescent="0.25">
      <c r="A59" s="80" t="s">
        <v>22</v>
      </c>
      <c r="B59" s="312" t="s">
        <v>160</v>
      </c>
      <c r="C59" s="312"/>
      <c r="D59" s="312"/>
      <c r="E59" s="39" t="s">
        <v>8</v>
      </c>
    </row>
    <row r="60" spans="1:6" x14ac:dyDescent="0.25">
      <c r="A60" s="56" t="s">
        <v>0</v>
      </c>
      <c r="B60" s="337" t="s">
        <v>161</v>
      </c>
      <c r="C60" s="337"/>
      <c r="D60" s="58">
        <f>((1+1/3)/12)/12</f>
        <v>9.2999999999999992E-3</v>
      </c>
      <c r="E60" s="46">
        <f>(E21+E49+E57+E79)*D60</f>
        <v>41.17</v>
      </c>
    </row>
    <row r="61" spans="1:6" x14ac:dyDescent="0.25">
      <c r="A61" s="56" t="s">
        <v>2</v>
      </c>
      <c r="B61" s="337" t="s">
        <v>162</v>
      </c>
      <c r="C61" s="337"/>
      <c r="D61" s="58">
        <v>1.66E-2</v>
      </c>
      <c r="E61" s="46">
        <f>(E21+E49+E57+E79)*D61</f>
        <v>73.48</v>
      </c>
      <c r="F61" t="s">
        <v>222</v>
      </c>
    </row>
    <row r="62" spans="1:6" x14ac:dyDescent="0.25">
      <c r="A62" s="56" t="s">
        <v>3</v>
      </c>
      <c r="B62" s="337" t="s">
        <v>163</v>
      </c>
      <c r="C62" s="337"/>
      <c r="D62" s="58">
        <f>(5/30)*(1/12)*6.24%*95.04%</f>
        <v>8.0000000000000004E-4</v>
      </c>
      <c r="E62" s="46">
        <f>(E21+E49+E57+E79)*D62</f>
        <v>3.54</v>
      </c>
      <c r="F62" t="s">
        <v>223</v>
      </c>
    </row>
    <row r="63" spans="1:6" x14ac:dyDescent="0.25">
      <c r="A63" s="56" t="s">
        <v>5</v>
      </c>
      <c r="B63" s="337" t="s">
        <v>164</v>
      </c>
      <c r="C63" s="337"/>
      <c r="D63" s="58">
        <f>(1/30)*(1/12)</f>
        <v>2.8E-3</v>
      </c>
      <c r="E63" s="46">
        <f>(E21+E49+E57+E79)*D63</f>
        <v>12.39</v>
      </c>
      <c r="F63" t="s">
        <v>224</v>
      </c>
    </row>
    <row r="64" spans="1:6" x14ac:dyDescent="0.25">
      <c r="A64" s="56" t="s">
        <v>17</v>
      </c>
      <c r="B64" s="337" t="s">
        <v>165</v>
      </c>
      <c r="C64" s="337"/>
      <c r="D64" s="58">
        <f>(0.91/30)*(1/12)</f>
        <v>2.5000000000000001E-3</v>
      </c>
      <c r="E64" s="46">
        <f>(E21+E49+E57+E79)*D64</f>
        <v>11.07</v>
      </c>
      <c r="F64" t="s">
        <v>225</v>
      </c>
    </row>
    <row r="65" spans="1:8" x14ac:dyDescent="0.25">
      <c r="A65" s="56" t="s">
        <v>18</v>
      </c>
      <c r="B65" s="340" t="s">
        <v>244</v>
      </c>
      <c r="C65" s="340"/>
      <c r="D65" s="117">
        <f>(7/30)*(1/24)</f>
        <v>9.7000000000000003E-3</v>
      </c>
      <c r="E65" s="46">
        <f>(E21+E49+E57+E79)*D65</f>
        <v>42.94</v>
      </c>
      <c r="F65" s="94" t="s">
        <v>226</v>
      </c>
    </row>
    <row r="66" spans="1:8" x14ac:dyDescent="0.25">
      <c r="A66" s="335" t="s">
        <v>166</v>
      </c>
      <c r="B66" s="336"/>
      <c r="C66" s="336"/>
      <c r="D66" s="70">
        <f>SUM(D60:D65)</f>
        <v>4.1700000000000001E-2</v>
      </c>
      <c r="E66" s="54">
        <f>SUM(E60:E65)</f>
        <v>184.59</v>
      </c>
    </row>
    <row r="67" spans="1:8" x14ac:dyDescent="0.25">
      <c r="A67" s="311"/>
      <c r="B67" s="312"/>
      <c r="C67" s="312"/>
      <c r="D67" s="312"/>
      <c r="E67" s="46"/>
    </row>
    <row r="68" spans="1:8" x14ac:dyDescent="0.25">
      <c r="A68" s="80" t="s">
        <v>123</v>
      </c>
      <c r="B68" s="314" t="s">
        <v>167</v>
      </c>
      <c r="C68" s="315"/>
      <c r="D68" s="315"/>
      <c r="E68" s="39" t="s">
        <v>8</v>
      </c>
    </row>
    <row r="69" spans="1:8" x14ac:dyDescent="0.25">
      <c r="A69" s="56" t="s">
        <v>0</v>
      </c>
      <c r="B69" s="337" t="s">
        <v>357</v>
      </c>
      <c r="C69" s="337"/>
      <c r="D69" s="337"/>
      <c r="E69" s="46">
        <f ca="1">' VIG. DIURNO HORISTA'!E93</f>
        <v>724.41</v>
      </c>
      <c r="G69" s="87"/>
    </row>
    <row r="70" spans="1:8" ht="15" customHeight="1" x14ac:dyDescent="0.25">
      <c r="A70" s="56" t="s">
        <v>2</v>
      </c>
      <c r="B70" s="341"/>
      <c r="C70" s="342"/>
      <c r="D70" s="219"/>
      <c r="E70" s="46"/>
      <c r="G70" s="87"/>
    </row>
    <row r="71" spans="1:8" x14ac:dyDescent="0.25">
      <c r="A71" s="335" t="s">
        <v>25</v>
      </c>
      <c r="B71" s="336"/>
      <c r="C71" s="336"/>
      <c r="D71" s="59"/>
      <c r="E71" s="54">
        <f ca="1">SUM(E69:E70)</f>
        <v>724.41</v>
      </c>
    </row>
    <row r="72" spans="1:8" x14ac:dyDescent="0.25">
      <c r="A72" s="311" t="s">
        <v>169</v>
      </c>
      <c r="B72" s="312"/>
      <c r="C72" s="312"/>
      <c r="D72" s="312"/>
      <c r="E72" s="46"/>
    </row>
    <row r="73" spans="1:8" x14ac:dyDescent="0.25">
      <c r="A73" s="80">
        <v>4</v>
      </c>
      <c r="B73" s="314" t="s">
        <v>30</v>
      </c>
      <c r="C73" s="315"/>
      <c r="D73" s="315"/>
      <c r="E73" s="39" t="s">
        <v>8</v>
      </c>
    </row>
    <row r="74" spans="1:8" x14ac:dyDescent="0.25">
      <c r="A74" s="56" t="s">
        <v>22</v>
      </c>
      <c r="B74" s="337" t="s">
        <v>160</v>
      </c>
      <c r="C74" s="337"/>
      <c r="D74" s="58">
        <f>D66</f>
        <v>4.1700000000000001E-2</v>
      </c>
      <c r="E74" s="46">
        <f>E66</f>
        <v>184.59</v>
      </c>
    </row>
    <row r="75" spans="1:8" x14ac:dyDescent="0.25">
      <c r="A75" s="56" t="s">
        <v>26</v>
      </c>
      <c r="B75" s="337" t="s">
        <v>167</v>
      </c>
      <c r="C75" s="337"/>
      <c r="D75" s="58"/>
      <c r="E75" s="46">
        <f ca="1">E71</f>
        <v>724.41</v>
      </c>
      <c r="G75" s="220"/>
      <c r="H75" s="220"/>
    </row>
    <row r="76" spans="1:8" x14ac:dyDescent="0.25">
      <c r="A76" s="335" t="s">
        <v>170</v>
      </c>
      <c r="B76" s="336"/>
      <c r="C76" s="336"/>
      <c r="D76" s="70">
        <f>SUM(D71:D75)</f>
        <v>4.1700000000000001E-2</v>
      </c>
      <c r="E76" s="54">
        <f ca="1">SUM(E74+E75)</f>
        <v>909</v>
      </c>
      <c r="G76" s="220" t="s">
        <v>339</v>
      </c>
      <c r="H76" s="220"/>
    </row>
    <row r="77" spans="1:8" x14ac:dyDescent="0.25">
      <c r="A77" s="311" t="s">
        <v>171</v>
      </c>
      <c r="B77" s="312"/>
      <c r="C77" s="312"/>
      <c r="D77" s="312"/>
      <c r="E77" s="313"/>
    </row>
    <row r="78" spans="1:8" x14ac:dyDescent="0.25">
      <c r="A78" s="80">
        <v>5</v>
      </c>
      <c r="B78" s="314" t="s">
        <v>172</v>
      </c>
      <c r="C78" s="315"/>
      <c r="D78" s="315"/>
      <c r="E78" s="39" t="s">
        <v>8</v>
      </c>
    </row>
    <row r="79" spans="1:8" x14ac:dyDescent="0.25">
      <c r="A79" s="56" t="s">
        <v>0</v>
      </c>
      <c r="B79" s="337" t="s">
        <v>173</v>
      </c>
      <c r="C79" s="337"/>
      <c r="D79" s="337"/>
      <c r="E79" s="46">
        <f>'Mat. Unif.-LOTE I'!I13</f>
        <v>68.239999999999995</v>
      </c>
    </row>
    <row r="80" spans="1:8" x14ac:dyDescent="0.25">
      <c r="A80" s="56" t="s">
        <v>2</v>
      </c>
      <c r="B80" s="337" t="s">
        <v>174</v>
      </c>
      <c r="C80" s="337"/>
      <c r="D80" s="337"/>
      <c r="E80" s="46">
        <f>'Mat. Unif.-LOTE I'!I22</f>
        <v>2.06</v>
      </c>
    </row>
    <row r="81" spans="1:5" x14ac:dyDescent="0.25">
      <c r="A81" s="56" t="s">
        <v>3</v>
      </c>
      <c r="B81" s="337" t="s">
        <v>175</v>
      </c>
      <c r="C81" s="337"/>
      <c r="D81" s="337"/>
      <c r="E81" s="46">
        <f>'Mat. Unif.-LOTE I'!I53</f>
        <v>68.31</v>
      </c>
    </row>
    <row r="82" spans="1:5" x14ac:dyDescent="0.25">
      <c r="A82" s="56"/>
      <c r="B82" s="227"/>
      <c r="C82" s="227"/>
      <c r="D82" s="227"/>
      <c r="E82" s="46">
        <v>0</v>
      </c>
    </row>
    <row r="83" spans="1:5" x14ac:dyDescent="0.25">
      <c r="A83" s="56" t="s">
        <v>5</v>
      </c>
      <c r="B83" s="337" t="s">
        <v>207</v>
      </c>
      <c r="C83" s="337"/>
      <c r="D83" s="337"/>
      <c r="E83" s="46">
        <v>33.869999999999997</v>
      </c>
    </row>
    <row r="84" spans="1:5" x14ac:dyDescent="0.25">
      <c r="A84" s="335" t="s">
        <v>176</v>
      </c>
      <c r="B84" s="336"/>
      <c r="C84" s="336"/>
      <c r="D84" s="70" t="s">
        <v>123</v>
      </c>
      <c r="E84" s="54">
        <f>SUM(E79:E83)</f>
        <v>172.48</v>
      </c>
    </row>
    <row r="85" spans="1:5" x14ac:dyDescent="0.25">
      <c r="A85" s="344" t="s">
        <v>31</v>
      </c>
      <c r="B85" s="346"/>
      <c r="C85" s="346" t="s">
        <v>25</v>
      </c>
      <c r="D85" s="346"/>
      <c r="E85" s="46">
        <f ca="1">SUM(E21+E49+E57+E76+E84)</f>
        <v>5439.82</v>
      </c>
    </row>
    <row r="86" spans="1:5" ht="30.75" customHeight="1" x14ac:dyDescent="0.25">
      <c r="A86" s="347" t="s">
        <v>242</v>
      </c>
      <c r="B86" s="348"/>
      <c r="C86" s="348"/>
      <c r="D86" s="118"/>
      <c r="E86" s="54">
        <f ca="1">E85</f>
        <v>5439.82</v>
      </c>
    </row>
    <row r="87" spans="1:5" x14ac:dyDescent="0.25">
      <c r="A87" s="311" t="s">
        <v>177</v>
      </c>
      <c r="B87" s="312"/>
      <c r="C87" s="312"/>
      <c r="D87" s="312"/>
      <c r="E87" s="313"/>
    </row>
    <row r="88" spans="1:5" x14ac:dyDescent="0.25">
      <c r="A88" s="80">
        <v>6</v>
      </c>
      <c r="B88" s="314" t="s">
        <v>32</v>
      </c>
      <c r="C88" s="315"/>
      <c r="D88" s="315"/>
      <c r="E88" s="39" t="s">
        <v>8</v>
      </c>
    </row>
    <row r="89" spans="1:5" x14ac:dyDescent="0.25">
      <c r="A89" s="80" t="s">
        <v>0</v>
      </c>
      <c r="B89" s="149" t="s">
        <v>33</v>
      </c>
      <c r="C89" s="343">
        <v>0.06</v>
      </c>
      <c r="D89" s="343"/>
      <c r="E89" s="46">
        <f ca="1">+E86*C89</f>
        <v>326.39</v>
      </c>
    </row>
    <row r="90" spans="1:5" x14ac:dyDescent="0.25">
      <c r="A90" s="80" t="s">
        <v>2</v>
      </c>
      <c r="B90" s="149" t="s">
        <v>34</v>
      </c>
      <c r="C90" s="343">
        <v>6.7900000000000002E-2</v>
      </c>
      <c r="D90" s="343"/>
      <c r="E90" s="46">
        <f ca="1">C90*(+E86+E89)</f>
        <v>391.53</v>
      </c>
    </row>
    <row r="91" spans="1:5" ht="36" customHeight="1" x14ac:dyDescent="0.25">
      <c r="A91" s="344" t="s">
        <v>3</v>
      </c>
      <c r="B91" s="345" t="s">
        <v>44</v>
      </c>
      <c r="C91" s="345"/>
      <c r="D91" s="71">
        <f>+(100-8.65)/100</f>
        <v>0.91349999999999998</v>
      </c>
      <c r="E91" s="46">
        <f ca="1">+E86+E89+E90</f>
        <v>6157.74</v>
      </c>
    </row>
    <row r="92" spans="1:5" x14ac:dyDescent="0.25">
      <c r="A92" s="344"/>
      <c r="B92" s="148" t="s">
        <v>35</v>
      </c>
      <c r="C92" s="60"/>
      <c r="D92" s="60"/>
      <c r="E92" s="201">
        <f ca="1">+E91/D91</f>
        <v>6740.82</v>
      </c>
    </row>
    <row r="93" spans="1:5" x14ac:dyDescent="0.25">
      <c r="A93" s="344"/>
      <c r="B93" s="148" t="s">
        <v>36</v>
      </c>
      <c r="C93" s="148"/>
      <c r="D93" s="148"/>
      <c r="E93" s="46"/>
    </row>
    <row r="94" spans="1:5" x14ac:dyDescent="0.25">
      <c r="A94" s="344"/>
      <c r="B94" s="53" t="s">
        <v>208</v>
      </c>
      <c r="C94" s="61"/>
      <c r="D94" s="58">
        <v>6.4999999999999997E-3</v>
      </c>
      <c r="E94" s="46">
        <f ca="1">+E92*D94</f>
        <v>43.82</v>
      </c>
    </row>
    <row r="95" spans="1:5" x14ac:dyDescent="0.25">
      <c r="A95" s="344"/>
      <c r="B95" s="53" t="s">
        <v>209</v>
      </c>
      <c r="C95" s="61"/>
      <c r="D95" s="58">
        <v>0.03</v>
      </c>
      <c r="E95" s="46">
        <f ca="1">+E92*D95</f>
        <v>202.22</v>
      </c>
    </row>
    <row r="96" spans="1:5" x14ac:dyDescent="0.25">
      <c r="A96" s="344"/>
      <c r="B96" s="120" t="s">
        <v>37</v>
      </c>
      <c r="C96" s="73"/>
      <c r="D96" s="60"/>
      <c r="E96" s="46"/>
    </row>
    <row r="97" spans="1:6" x14ac:dyDescent="0.25">
      <c r="A97" s="344"/>
      <c r="B97" s="120" t="s">
        <v>38</v>
      </c>
      <c r="C97" s="73"/>
      <c r="D97" s="73"/>
      <c r="E97" s="46"/>
    </row>
    <row r="98" spans="1:6" x14ac:dyDescent="0.25">
      <c r="A98" s="344"/>
      <c r="B98" s="53" t="s">
        <v>247</v>
      </c>
      <c r="C98" s="61"/>
      <c r="D98" s="58">
        <v>0.05</v>
      </c>
      <c r="E98" s="46">
        <f ca="1">+E92*D98</f>
        <v>337.04</v>
      </c>
    </row>
    <row r="99" spans="1:6" x14ac:dyDescent="0.25">
      <c r="A99" s="80"/>
      <c r="B99" s="60" t="s">
        <v>39</v>
      </c>
      <c r="C99" s="60"/>
      <c r="D99" s="121">
        <f>SUM(D94:D98)</f>
        <v>8.6499999999999994E-2</v>
      </c>
      <c r="E99" s="46">
        <f ca="1">SUM(E94:E98)</f>
        <v>583.08000000000004</v>
      </c>
    </row>
    <row r="100" spans="1:6" x14ac:dyDescent="0.25">
      <c r="A100" s="335" t="s">
        <v>40</v>
      </c>
      <c r="B100" s="336"/>
      <c r="C100" s="336"/>
      <c r="D100" s="336"/>
      <c r="E100" s="54">
        <f ca="1">+E89+E90+E99</f>
        <v>1301</v>
      </c>
    </row>
    <row r="101" spans="1:6" x14ac:dyDescent="0.25">
      <c r="A101" s="344" t="s">
        <v>41</v>
      </c>
      <c r="B101" s="346"/>
      <c r="C101" s="346"/>
      <c r="D101" s="346"/>
      <c r="E101" s="39" t="s">
        <v>8</v>
      </c>
    </row>
    <row r="102" spans="1:6" x14ac:dyDescent="0.25">
      <c r="A102" s="80" t="s">
        <v>0</v>
      </c>
      <c r="B102" s="314" t="s">
        <v>42</v>
      </c>
      <c r="C102" s="314"/>
      <c r="D102" s="314"/>
      <c r="E102" s="46">
        <f>E21</f>
        <v>2204.06</v>
      </c>
    </row>
    <row r="103" spans="1:6" x14ac:dyDescent="0.25">
      <c r="A103" s="80" t="s">
        <v>2</v>
      </c>
      <c r="B103" s="314" t="s">
        <v>178</v>
      </c>
      <c r="C103" s="314"/>
      <c r="D103" s="314"/>
      <c r="E103" s="46">
        <f>E49</f>
        <v>1995.37</v>
      </c>
    </row>
    <row r="104" spans="1:6" x14ac:dyDescent="0.25">
      <c r="A104" s="80" t="s">
        <v>3</v>
      </c>
      <c r="B104" s="314" t="s">
        <v>179</v>
      </c>
      <c r="C104" s="314"/>
      <c r="D104" s="314"/>
      <c r="E104" s="46">
        <f>E57</f>
        <v>158.91</v>
      </c>
    </row>
    <row r="105" spans="1:6" x14ac:dyDescent="0.25">
      <c r="A105" s="80" t="s">
        <v>5</v>
      </c>
      <c r="B105" s="314" t="s">
        <v>180</v>
      </c>
      <c r="C105" s="314"/>
      <c r="D105" s="314"/>
      <c r="E105" s="46">
        <v>909</v>
      </c>
    </row>
    <row r="106" spans="1:6" x14ac:dyDescent="0.25">
      <c r="A106" s="80" t="s">
        <v>17</v>
      </c>
      <c r="B106" s="314" t="s">
        <v>181</v>
      </c>
      <c r="C106" s="314"/>
      <c r="D106" s="314"/>
      <c r="E106" s="46">
        <f>E84</f>
        <v>172.48</v>
      </c>
    </row>
    <row r="107" spans="1:6" x14ac:dyDescent="0.25">
      <c r="A107" s="349" t="s">
        <v>364</v>
      </c>
      <c r="B107" s="350"/>
      <c r="C107" s="350"/>
      <c r="D107" s="67"/>
      <c r="E107" s="46">
        <f>SUM(E102:E106)</f>
        <v>5439.82</v>
      </c>
      <c r="F107" s="236"/>
    </row>
    <row r="108" spans="1:6" x14ac:dyDescent="0.25">
      <c r="A108" s="80" t="s">
        <v>18</v>
      </c>
      <c r="B108" s="314" t="s">
        <v>243</v>
      </c>
      <c r="C108" s="314"/>
      <c r="D108" s="314"/>
      <c r="E108" s="46">
        <f ca="1">+E100</f>
        <v>1301</v>
      </c>
    </row>
    <row r="109" spans="1:6" x14ac:dyDescent="0.25">
      <c r="A109" s="347" t="s">
        <v>43</v>
      </c>
      <c r="B109" s="348"/>
      <c r="C109" s="348"/>
      <c r="D109" s="348"/>
      <c r="E109" s="237">
        <f ca="1">+E107+E108</f>
        <v>6740.82</v>
      </c>
    </row>
    <row r="110" spans="1:6" x14ac:dyDescent="0.25">
      <c r="A110" s="351" t="s">
        <v>201</v>
      </c>
      <c r="B110" s="352"/>
      <c r="C110" s="352"/>
      <c r="D110" s="352"/>
      <c r="E110" s="202">
        <f ca="1">E109*2</f>
        <v>13481.64</v>
      </c>
    </row>
    <row r="111" spans="1:6" ht="18.75" customHeight="1" thickBot="1" x14ac:dyDescent="0.3">
      <c r="A111" s="353"/>
      <c r="B111" s="354"/>
      <c r="C111" s="354"/>
      <c r="D111" s="354"/>
      <c r="E111" s="355"/>
    </row>
  </sheetData>
  <mergeCells count="102">
    <mergeCell ref="A107:C107"/>
    <mergeCell ref="B108:D108"/>
    <mergeCell ref="A109:D109"/>
    <mergeCell ref="A110:D110"/>
    <mergeCell ref="A111:E111"/>
    <mergeCell ref="A101:D101"/>
    <mergeCell ref="B102:D102"/>
    <mergeCell ref="B103:D103"/>
    <mergeCell ref="B104:D104"/>
    <mergeCell ref="B105:D105"/>
    <mergeCell ref="B106:D106"/>
    <mergeCell ref="B88:D88"/>
    <mergeCell ref="C89:D89"/>
    <mergeCell ref="C90:D90"/>
    <mergeCell ref="A91:A98"/>
    <mergeCell ref="B91:C91"/>
    <mergeCell ref="A100:D100"/>
    <mergeCell ref="B83:D83"/>
    <mergeCell ref="A84:C84"/>
    <mergeCell ref="A85:B85"/>
    <mergeCell ref="C85:D85"/>
    <mergeCell ref="A86:C86"/>
    <mergeCell ref="A87:E87"/>
    <mergeCell ref="A76:C76"/>
    <mergeCell ref="A77:E77"/>
    <mergeCell ref="B78:D78"/>
    <mergeCell ref="B79:D79"/>
    <mergeCell ref="B80:D80"/>
    <mergeCell ref="B81:D81"/>
    <mergeCell ref="B69:D69"/>
    <mergeCell ref="A71:C71"/>
    <mergeCell ref="A72:D72"/>
    <mergeCell ref="B73:D73"/>
    <mergeCell ref="B74:C74"/>
    <mergeCell ref="B75:C75"/>
    <mergeCell ref="B70:C70"/>
    <mergeCell ref="B63:C63"/>
    <mergeCell ref="B64:C64"/>
    <mergeCell ref="B65:C65"/>
    <mergeCell ref="A66:C66"/>
    <mergeCell ref="A67:D67"/>
    <mergeCell ref="B68:D68"/>
    <mergeCell ref="A57:C57"/>
    <mergeCell ref="A58:E58"/>
    <mergeCell ref="B59:D59"/>
    <mergeCell ref="B60:C60"/>
    <mergeCell ref="B61:C61"/>
    <mergeCell ref="B62:C62"/>
    <mergeCell ref="B51:D51"/>
    <mergeCell ref="B52:C52"/>
    <mergeCell ref="B53:C53"/>
    <mergeCell ref="B54:C54"/>
    <mergeCell ref="B55:C55"/>
    <mergeCell ref="B56:C56"/>
    <mergeCell ref="A45:D45"/>
    <mergeCell ref="B46:D46"/>
    <mergeCell ref="B47:D47"/>
    <mergeCell ref="B48:D48"/>
    <mergeCell ref="A49:C49"/>
    <mergeCell ref="A50:E50"/>
    <mergeCell ref="B39:C39"/>
    <mergeCell ref="B40:C40"/>
    <mergeCell ref="B41:C41"/>
    <mergeCell ref="B42:C42"/>
    <mergeCell ref="B43:C43"/>
    <mergeCell ref="A44:D44"/>
    <mergeCell ref="B33:C33"/>
    <mergeCell ref="B34:C34"/>
    <mergeCell ref="B35:C35"/>
    <mergeCell ref="B36:C36"/>
    <mergeCell ref="A37:C37"/>
    <mergeCell ref="B38:D38"/>
    <mergeCell ref="A27:E27"/>
    <mergeCell ref="B28:D28"/>
    <mergeCell ref="B29:C29"/>
    <mergeCell ref="B30:C30"/>
    <mergeCell ref="B31:C31"/>
    <mergeCell ref="B32:C32"/>
    <mergeCell ref="A21:D21"/>
    <mergeCell ref="A22:E22"/>
    <mergeCell ref="B23:D23"/>
    <mergeCell ref="B24:C24"/>
    <mergeCell ref="B25:C25"/>
    <mergeCell ref="A26:C26"/>
    <mergeCell ref="C16:D16"/>
    <mergeCell ref="C18:D18"/>
    <mergeCell ref="B19:D19"/>
    <mergeCell ref="A7:E7"/>
    <mergeCell ref="A8:E8"/>
    <mergeCell ref="A9:E9"/>
    <mergeCell ref="C10:E10"/>
    <mergeCell ref="B11:D11"/>
    <mergeCell ref="C12:E12"/>
    <mergeCell ref="A1:E1"/>
    <mergeCell ref="A2:E2"/>
    <mergeCell ref="C3:E3"/>
    <mergeCell ref="C4:E4"/>
    <mergeCell ref="C5:E5"/>
    <mergeCell ref="C6:E6"/>
    <mergeCell ref="B13:D13"/>
    <mergeCell ref="A14:E14"/>
    <mergeCell ref="B15:D15"/>
  </mergeCells>
  <hyperlinks>
    <hyperlink ref="B36" r:id="rId1" display="08 - Sebrae 0,3% ou 0,6% - IN nº 03, MPS/SRP/2005, Anexo II e III ver código da Tabela"/>
  </hyperlinks>
  <pageMargins left="0.51181102362204722" right="0.51181102362204722" top="0.78740157480314965" bottom="0.78740157480314965" header="0.31496062992125984" footer="0.31496062992125984"/>
  <pageSetup paperSize="9" scale="68" fitToHeight="0" orientation="portrait" r:id="rId2"/>
  <rowBreaks count="1" manualBreakCount="1">
    <brk id="66" max="4" man="1"/>
  </rowBreaks>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39997558519241921"/>
  </sheetPr>
  <dimension ref="A1:J112"/>
  <sheetViews>
    <sheetView topLeftCell="A91" zoomScale="120" zoomScaleNormal="120" workbookViewId="0">
      <selection activeCell="G90" sqref="G90:G92"/>
    </sheetView>
  </sheetViews>
  <sheetFormatPr defaultRowHeight="15" x14ac:dyDescent="0.25"/>
  <cols>
    <col min="1" max="1" width="11.140625" customWidth="1"/>
    <col min="2" max="2" width="47.42578125" customWidth="1"/>
    <col min="3" max="3" width="27.140625" customWidth="1"/>
    <col min="4" max="4" width="22.140625" customWidth="1"/>
    <col min="5" max="5" width="24.42578125" customWidth="1"/>
    <col min="7" max="7" width="28" customWidth="1"/>
    <col min="8" max="8" width="20.42578125" customWidth="1"/>
    <col min="9" max="9" width="17.28515625" customWidth="1"/>
    <col min="10" max="10" width="12.28515625" customWidth="1"/>
  </cols>
  <sheetData>
    <row r="1" spans="1:10" ht="21" x14ac:dyDescent="0.25">
      <c r="A1" s="300" t="s">
        <v>246</v>
      </c>
      <c r="B1" s="301"/>
      <c r="C1" s="301"/>
      <c r="D1" s="301"/>
      <c r="E1" s="302"/>
    </row>
    <row r="2" spans="1:10" x14ac:dyDescent="0.25">
      <c r="A2" s="303" t="s">
        <v>182</v>
      </c>
      <c r="B2" s="304"/>
      <c r="C2" s="304"/>
      <c r="D2" s="304"/>
      <c r="E2" s="305"/>
    </row>
    <row r="3" spans="1:10" x14ac:dyDescent="0.25">
      <c r="A3" s="37" t="s">
        <v>0</v>
      </c>
      <c r="B3" s="103" t="s">
        <v>1</v>
      </c>
      <c r="C3" s="306" t="s">
        <v>366</v>
      </c>
      <c r="D3" s="306"/>
      <c r="E3" s="307"/>
    </row>
    <row r="4" spans="1:10" x14ac:dyDescent="0.25">
      <c r="A4" s="37" t="s">
        <v>2</v>
      </c>
      <c r="B4" s="103" t="s">
        <v>125</v>
      </c>
      <c r="C4" s="308" t="s">
        <v>182</v>
      </c>
      <c r="D4" s="308"/>
      <c r="E4" s="309"/>
    </row>
    <row r="5" spans="1:10" ht="25.5" x14ac:dyDescent="0.25">
      <c r="A5" s="37" t="s">
        <v>3</v>
      </c>
      <c r="B5" s="103" t="s">
        <v>4</v>
      </c>
      <c r="C5" s="308" t="s">
        <v>340</v>
      </c>
      <c r="D5" s="308"/>
      <c r="E5" s="309"/>
    </row>
    <row r="6" spans="1:10" x14ac:dyDescent="0.25">
      <c r="A6" s="37" t="s">
        <v>5</v>
      </c>
      <c r="B6" s="103" t="s">
        <v>133</v>
      </c>
      <c r="C6" s="308">
        <v>12</v>
      </c>
      <c r="D6" s="308"/>
      <c r="E6" s="309"/>
    </row>
    <row r="7" spans="1:10" x14ac:dyDescent="0.25">
      <c r="A7" s="358" t="s">
        <v>6</v>
      </c>
      <c r="B7" s="327"/>
      <c r="C7" s="327"/>
      <c r="D7" s="327"/>
      <c r="E7" s="328"/>
    </row>
    <row r="8" spans="1:10" x14ac:dyDescent="0.25">
      <c r="A8" s="324" t="s">
        <v>7</v>
      </c>
      <c r="B8" s="325"/>
      <c r="C8" s="325"/>
      <c r="D8" s="325"/>
      <c r="E8" s="326"/>
    </row>
    <row r="9" spans="1:10" x14ac:dyDescent="0.25">
      <c r="A9" s="324" t="s">
        <v>235</v>
      </c>
      <c r="B9" s="327"/>
      <c r="C9" s="327"/>
      <c r="D9" s="327"/>
      <c r="E9" s="328"/>
    </row>
    <row r="10" spans="1:10" ht="25.5" x14ac:dyDescent="0.25">
      <c r="A10" s="37">
        <v>1</v>
      </c>
      <c r="B10" s="40" t="s">
        <v>124</v>
      </c>
      <c r="C10" s="329" t="s">
        <v>378</v>
      </c>
      <c r="D10" s="329"/>
      <c r="E10" s="330"/>
    </row>
    <row r="11" spans="1:10" x14ac:dyDescent="0.25">
      <c r="A11" s="37">
        <v>2</v>
      </c>
      <c r="B11" s="331" t="s">
        <v>9</v>
      </c>
      <c r="C11" s="331"/>
      <c r="D11" s="331"/>
      <c r="E11" s="198">
        <v>1695.43</v>
      </c>
    </row>
    <row r="12" spans="1:10" x14ac:dyDescent="0.25">
      <c r="A12" s="37">
        <v>3</v>
      </c>
      <c r="B12" s="40" t="s">
        <v>10</v>
      </c>
      <c r="C12" s="329" t="s">
        <v>252</v>
      </c>
      <c r="D12" s="329"/>
      <c r="E12" s="330"/>
    </row>
    <row r="13" spans="1:10" x14ac:dyDescent="0.25">
      <c r="A13" s="37">
        <v>4</v>
      </c>
      <c r="B13" s="310" t="s">
        <v>11</v>
      </c>
      <c r="C13" s="310"/>
      <c r="D13" s="310"/>
      <c r="E13" s="221" t="s">
        <v>341</v>
      </c>
    </row>
    <row r="14" spans="1:10" x14ac:dyDescent="0.25">
      <c r="A14" s="311" t="s">
        <v>12</v>
      </c>
      <c r="B14" s="312"/>
      <c r="C14" s="312"/>
      <c r="D14" s="312"/>
      <c r="E14" s="313"/>
      <c r="I14" s="125"/>
      <c r="J14" s="125"/>
    </row>
    <row r="15" spans="1:10" x14ac:dyDescent="0.25">
      <c r="A15" s="80">
        <v>1</v>
      </c>
      <c r="B15" s="314" t="s">
        <v>13</v>
      </c>
      <c r="C15" s="315"/>
      <c r="D15" s="315"/>
      <c r="E15" s="39" t="s">
        <v>8</v>
      </c>
      <c r="J15" s="125"/>
    </row>
    <row r="16" spans="1:10" x14ac:dyDescent="0.25">
      <c r="A16" s="48" t="s">
        <v>0</v>
      </c>
      <c r="B16" s="49" t="s">
        <v>14</v>
      </c>
      <c r="C16" s="316"/>
      <c r="D16" s="316"/>
      <c r="E16" s="50">
        <f>+E11</f>
        <v>1695.43</v>
      </c>
    </row>
    <row r="17" spans="1:8" x14ac:dyDescent="0.25">
      <c r="A17" s="48" t="s">
        <v>2</v>
      </c>
      <c r="B17" s="52" t="s">
        <v>204</v>
      </c>
      <c r="C17" s="150">
        <v>0</v>
      </c>
      <c r="D17" s="107">
        <v>1412</v>
      </c>
      <c r="E17" s="199">
        <f>D17*C17</f>
        <v>0</v>
      </c>
      <c r="G17" t="s">
        <v>264</v>
      </c>
    </row>
    <row r="18" spans="1:8" ht="17.25" customHeight="1" x14ac:dyDescent="0.25">
      <c r="A18" s="48" t="s">
        <v>3</v>
      </c>
      <c r="B18" s="49" t="s">
        <v>16</v>
      </c>
      <c r="C18" s="317">
        <v>0</v>
      </c>
      <c r="D18" s="318"/>
      <c r="E18" s="199">
        <f>0</f>
        <v>0</v>
      </c>
      <c r="G18" t="s">
        <v>259</v>
      </c>
      <c r="H18">
        <v>365</v>
      </c>
    </row>
    <row r="19" spans="1:8" ht="14.25" customHeight="1" x14ac:dyDescent="0.25">
      <c r="A19" s="48" t="s">
        <v>123</v>
      </c>
      <c r="B19" s="319" t="s">
        <v>210</v>
      </c>
      <c r="C19" s="320"/>
      <c r="D19" s="320"/>
      <c r="E19" s="51">
        <f>SUM(E16:E18)</f>
        <v>1695.43</v>
      </c>
      <c r="G19" t="s">
        <v>261</v>
      </c>
      <c r="H19">
        <f>H18*50%</f>
        <v>182.5</v>
      </c>
    </row>
    <row r="20" spans="1:8" ht="19.5" customHeight="1" x14ac:dyDescent="0.25">
      <c r="A20" s="48" t="s">
        <v>5</v>
      </c>
      <c r="B20" s="49" t="s">
        <v>15</v>
      </c>
      <c r="C20" s="110">
        <v>0.3</v>
      </c>
      <c r="D20" s="111">
        <f>E19</f>
        <v>1695.43</v>
      </c>
      <c r="E20" s="199">
        <f>E19*C20</f>
        <v>508.63</v>
      </c>
      <c r="G20" t="s">
        <v>265</v>
      </c>
      <c r="H20" s="87">
        <f>H19/12</f>
        <v>15.21</v>
      </c>
    </row>
    <row r="21" spans="1:8" x14ac:dyDescent="0.25">
      <c r="A21" s="335" t="s">
        <v>20</v>
      </c>
      <c r="B21" s="336"/>
      <c r="C21" s="336"/>
      <c r="D21" s="336"/>
      <c r="E21" s="54">
        <f>SUM(E19:E20)</f>
        <v>2204.06</v>
      </c>
    </row>
    <row r="22" spans="1:8" x14ac:dyDescent="0.25">
      <c r="A22" s="311" t="s">
        <v>45</v>
      </c>
      <c r="B22" s="312"/>
      <c r="C22" s="312"/>
      <c r="D22" s="312"/>
      <c r="E22" s="313"/>
      <c r="G22" s="128"/>
    </row>
    <row r="23" spans="1:8" x14ac:dyDescent="0.25">
      <c r="A23" s="80" t="s">
        <v>134</v>
      </c>
      <c r="B23" s="314" t="s">
        <v>135</v>
      </c>
      <c r="C23" s="315"/>
      <c r="D23" s="315"/>
      <c r="E23" s="39" t="s">
        <v>8</v>
      </c>
    </row>
    <row r="24" spans="1:8" x14ac:dyDescent="0.25">
      <c r="A24" s="56" t="s">
        <v>0</v>
      </c>
      <c r="B24" s="337" t="s">
        <v>27</v>
      </c>
      <c r="C24" s="337"/>
      <c r="D24" s="58">
        <f>1/12</f>
        <v>8.3299999999999999E-2</v>
      </c>
      <c r="E24" s="46">
        <f>ROUND(+$E$21*D24,2)</f>
        <v>183.6</v>
      </c>
    </row>
    <row r="25" spans="1:8" x14ac:dyDescent="0.25">
      <c r="A25" s="56" t="s">
        <v>2</v>
      </c>
      <c r="B25" s="337" t="s">
        <v>136</v>
      </c>
      <c r="C25" s="337"/>
      <c r="D25" s="58">
        <v>0.1111</v>
      </c>
      <c r="E25" s="46">
        <f>ROUND(+$E$21*D25,2)</f>
        <v>244.87</v>
      </c>
    </row>
    <row r="26" spans="1:8" x14ac:dyDescent="0.25">
      <c r="A26" s="335" t="s">
        <v>25</v>
      </c>
      <c r="B26" s="336"/>
      <c r="C26" s="338"/>
      <c r="D26" s="59">
        <f>SUM(D24:D25)</f>
        <v>0.19439999999999999</v>
      </c>
      <c r="E26" s="54">
        <f>SUM(E24:E25)</f>
        <v>428.47</v>
      </c>
    </row>
    <row r="27" spans="1:8" ht="29.25" customHeight="1" x14ac:dyDescent="0.25">
      <c r="A27" s="332" t="s">
        <v>137</v>
      </c>
      <c r="B27" s="333"/>
      <c r="C27" s="333"/>
      <c r="D27" s="333"/>
      <c r="E27" s="334"/>
    </row>
    <row r="28" spans="1:8" x14ac:dyDescent="0.25">
      <c r="A28" s="80" t="s">
        <v>138</v>
      </c>
      <c r="B28" s="314" t="s">
        <v>23</v>
      </c>
      <c r="C28" s="315"/>
      <c r="D28" s="315"/>
      <c r="E28" s="39" t="s">
        <v>8</v>
      </c>
      <c r="G28" t="s">
        <v>263</v>
      </c>
    </row>
    <row r="29" spans="1:8" x14ac:dyDescent="0.25">
      <c r="A29" s="56" t="s">
        <v>0</v>
      </c>
      <c r="B29" s="310" t="s">
        <v>139</v>
      </c>
      <c r="C29" s="310"/>
      <c r="D29" s="58">
        <v>0.2</v>
      </c>
      <c r="E29" s="46">
        <f>(E21+E26)*D29</f>
        <v>526.51</v>
      </c>
      <c r="G29" t="s">
        <v>259</v>
      </c>
      <c r="H29">
        <v>365</v>
      </c>
    </row>
    <row r="30" spans="1:8" x14ac:dyDescent="0.25">
      <c r="A30" s="56" t="s">
        <v>2</v>
      </c>
      <c r="B30" s="310" t="s">
        <v>140</v>
      </c>
      <c r="C30" s="310"/>
      <c r="D30" s="58">
        <v>1.4999999999999999E-2</v>
      </c>
      <c r="E30" s="46">
        <f>(E21+E26)*D30</f>
        <v>39.49</v>
      </c>
      <c r="G30" t="s">
        <v>257</v>
      </c>
      <c r="H30">
        <v>52</v>
      </c>
    </row>
    <row r="31" spans="1:8" x14ac:dyDescent="0.25">
      <c r="A31" s="56" t="s">
        <v>3</v>
      </c>
      <c r="B31" s="310" t="s">
        <v>240</v>
      </c>
      <c r="C31" s="310"/>
      <c r="D31" s="58">
        <v>0.01</v>
      </c>
      <c r="E31" s="46">
        <f>(E21+E26)*D31</f>
        <v>26.33</v>
      </c>
      <c r="G31" t="s">
        <v>258</v>
      </c>
      <c r="H31">
        <v>52</v>
      </c>
    </row>
    <row r="32" spans="1:8" x14ac:dyDescent="0.25">
      <c r="A32" s="56" t="s">
        <v>5</v>
      </c>
      <c r="B32" s="310" t="s">
        <v>142</v>
      </c>
      <c r="C32" s="310"/>
      <c r="D32" s="58">
        <v>2E-3</v>
      </c>
      <c r="E32" s="46">
        <f>(E21+E26)*D32</f>
        <v>5.27</v>
      </c>
    </row>
    <row r="33" spans="1:9" ht="30" x14ac:dyDescent="0.25">
      <c r="A33" s="56" t="s">
        <v>17</v>
      </c>
      <c r="B33" s="310" t="s">
        <v>241</v>
      </c>
      <c r="C33" s="310"/>
      <c r="D33" s="58">
        <v>2.5000000000000001E-2</v>
      </c>
      <c r="E33" s="46">
        <f>(E21+E26)*D33</f>
        <v>65.81</v>
      </c>
      <c r="G33" s="128" t="s">
        <v>260</v>
      </c>
      <c r="H33">
        <f>H29-H30-H31</f>
        <v>261</v>
      </c>
    </row>
    <row r="34" spans="1:9" x14ac:dyDescent="0.25">
      <c r="A34" s="56" t="s">
        <v>18</v>
      </c>
      <c r="B34" s="310" t="s">
        <v>144</v>
      </c>
      <c r="C34" s="310"/>
      <c r="D34" s="58">
        <v>0.08</v>
      </c>
      <c r="E34" s="46">
        <f>(E21+E26)*D34</f>
        <v>210.6</v>
      </c>
      <c r="G34" t="s">
        <v>261</v>
      </c>
      <c r="H34">
        <f>H33*50%</f>
        <v>130.5</v>
      </c>
    </row>
    <row r="35" spans="1:9" x14ac:dyDescent="0.25">
      <c r="A35" s="56" t="s">
        <v>19</v>
      </c>
      <c r="B35" s="310" t="s">
        <v>145</v>
      </c>
      <c r="C35" s="310"/>
      <c r="D35" s="58">
        <v>0.06</v>
      </c>
      <c r="E35" s="46">
        <f>(E21+E26)*D35</f>
        <v>157.94999999999999</v>
      </c>
      <c r="G35" t="s">
        <v>265</v>
      </c>
      <c r="H35">
        <f>H34/12</f>
        <v>10.875</v>
      </c>
    </row>
    <row r="36" spans="1:9" x14ac:dyDescent="0.25">
      <c r="A36" s="63" t="s">
        <v>24</v>
      </c>
      <c r="B36" s="339" t="s">
        <v>146</v>
      </c>
      <c r="C36" s="339"/>
      <c r="D36" s="66">
        <v>6.0000000000000001E-3</v>
      </c>
      <c r="E36" s="55">
        <f>(E21+E26)*D36</f>
        <v>15.8</v>
      </c>
    </row>
    <row r="37" spans="1:9" x14ac:dyDescent="0.25">
      <c r="A37" s="335" t="s">
        <v>25</v>
      </c>
      <c r="B37" s="336"/>
      <c r="C37" s="338"/>
      <c r="D37" s="59">
        <f>SUM(D29:D36)</f>
        <v>0.39800000000000002</v>
      </c>
      <c r="E37" s="54">
        <f>SUM(E29:E36)</f>
        <v>1047.76</v>
      </c>
    </row>
    <row r="38" spans="1:9" x14ac:dyDescent="0.25">
      <c r="A38" s="80" t="s">
        <v>147</v>
      </c>
      <c r="B38" s="314" t="s">
        <v>148</v>
      </c>
      <c r="C38" s="315"/>
      <c r="D38" s="315"/>
      <c r="E38" s="39" t="s">
        <v>8</v>
      </c>
    </row>
    <row r="39" spans="1:9" ht="15" customHeight="1" x14ac:dyDescent="0.25">
      <c r="A39" s="56" t="s">
        <v>0</v>
      </c>
      <c r="B39" s="337" t="s">
        <v>342</v>
      </c>
      <c r="C39" s="337"/>
      <c r="D39" s="98">
        <v>6</v>
      </c>
      <c r="E39" s="200">
        <f>(D39*21.75)-(E16*0.06)</f>
        <v>28.77</v>
      </c>
      <c r="H39" s="87"/>
      <c r="I39" s="125"/>
    </row>
    <row r="40" spans="1:9" ht="24" customHeight="1" x14ac:dyDescent="0.25">
      <c r="A40" s="56" t="s">
        <v>2</v>
      </c>
      <c r="B40" s="337" t="s">
        <v>343</v>
      </c>
      <c r="C40" s="337"/>
      <c r="D40" s="89">
        <v>41</v>
      </c>
      <c r="E40" s="50">
        <f>(D40*10.87)-(D40*10.87*1%)</f>
        <v>441.21</v>
      </c>
      <c r="I40" s="125"/>
    </row>
    <row r="41" spans="1:9" ht="15" customHeight="1" x14ac:dyDescent="0.25">
      <c r="A41" s="56" t="s">
        <v>3</v>
      </c>
      <c r="B41" s="337" t="s">
        <v>344</v>
      </c>
      <c r="C41" s="337"/>
      <c r="D41" s="92"/>
      <c r="E41" s="50">
        <f>((E11*16%) -(E11*1%))/12</f>
        <v>21.19</v>
      </c>
    </row>
    <row r="42" spans="1:9" ht="15" customHeight="1" x14ac:dyDescent="0.25">
      <c r="A42" s="56" t="s">
        <v>5</v>
      </c>
      <c r="B42" s="337" t="s">
        <v>345</v>
      </c>
      <c r="C42" s="337"/>
      <c r="D42" s="85">
        <v>14.16</v>
      </c>
      <c r="E42" s="200">
        <f>D42</f>
        <v>14.16</v>
      </c>
      <c r="H42" s="125"/>
    </row>
    <row r="43" spans="1:9" ht="15" customHeight="1" x14ac:dyDescent="0.25">
      <c r="A43" s="56" t="s">
        <v>17</v>
      </c>
      <c r="B43" s="337" t="s">
        <v>346</v>
      </c>
      <c r="C43" s="337"/>
      <c r="D43" s="85"/>
      <c r="E43" s="200">
        <f>(((E16+E20)*26+((E16)*5))/1000*0.21)</f>
        <v>13.81</v>
      </c>
      <c r="H43" s="125"/>
      <c r="I43" s="140"/>
    </row>
    <row r="44" spans="1:9" ht="15.6" customHeight="1" x14ac:dyDescent="0.25">
      <c r="A44" s="335" t="s">
        <v>21</v>
      </c>
      <c r="B44" s="336"/>
      <c r="C44" s="336"/>
      <c r="D44" s="336"/>
      <c r="E44" s="54">
        <f>SUM(E39:E43)</f>
        <v>519.14</v>
      </c>
      <c r="H44" s="125"/>
    </row>
    <row r="45" spans="1:9" x14ac:dyDescent="0.25">
      <c r="A45" s="311" t="s">
        <v>150</v>
      </c>
      <c r="B45" s="312"/>
      <c r="C45" s="312"/>
      <c r="D45" s="312"/>
      <c r="E45" s="46"/>
      <c r="H45" s="125"/>
    </row>
    <row r="46" spans="1:9" x14ac:dyDescent="0.25">
      <c r="A46" s="80" t="s">
        <v>134</v>
      </c>
      <c r="B46" s="314" t="s">
        <v>151</v>
      </c>
      <c r="C46" s="315"/>
      <c r="D46" s="315"/>
      <c r="E46" s="47">
        <f>E26</f>
        <v>428.47</v>
      </c>
      <c r="H46" s="125"/>
    </row>
    <row r="47" spans="1:9" x14ac:dyDescent="0.25">
      <c r="A47" s="80" t="s">
        <v>138</v>
      </c>
      <c r="B47" s="337" t="s">
        <v>250</v>
      </c>
      <c r="C47" s="337"/>
      <c r="D47" s="337"/>
      <c r="E47" s="46">
        <f>E37</f>
        <v>1047.76</v>
      </c>
    </row>
    <row r="48" spans="1:9" x14ac:dyDescent="0.25">
      <c r="A48" s="80" t="s">
        <v>147</v>
      </c>
      <c r="B48" s="337" t="s">
        <v>153</v>
      </c>
      <c r="C48" s="337"/>
      <c r="D48" s="337"/>
      <c r="E48" s="46">
        <f>E44</f>
        <v>519.14</v>
      </c>
    </row>
    <row r="49" spans="1:6" x14ac:dyDescent="0.25">
      <c r="A49" s="335" t="s">
        <v>25</v>
      </c>
      <c r="B49" s="336"/>
      <c r="C49" s="338"/>
      <c r="D49" s="68" t="s">
        <v>123</v>
      </c>
      <c r="E49" s="54">
        <f>SUM(E46:E48)</f>
        <v>1995.37</v>
      </c>
    </row>
    <row r="50" spans="1:6" x14ac:dyDescent="0.25">
      <c r="A50" s="311" t="s">
        <v>154</v>
      </c>
      <c r="B50" s="312"/>
      <c r="C50" s="312"/>
      <c r="D50" s="312"/>
      <c r="E50" s="313"/>
    </row>
    <row r="51" spans="1:6" x14ac:dyDescent="0.25">
      <c r="A51" s="80" t="s">
        <v>155</v>
      </c>
      <c r="B51" s="314" t="s">
        <v>28</v>
      </c>
      <c r="C51" s="315"/>
      <c r="D51" s="315"/>
      <c r="E51" s="39" t="s">
        <v>8</v>
      </c>
    </row>
    <row r="52" spans="1:6" x14ac:dyDescent="0.25">
      <c r="A52" s="56" t="s">
        <v>0</v>
      </c>
      <c r="B52" s="337" t="s">
        <v>156</v>
      </c>
      <c r="C52" s="337"/>
      <c r="D52" s="58">
        <v>4.5999999999999999E-3</v>
      </c>
      <c r="E52" s="46">
        <f t="shared" ref="E52:E55" si="0">ROUND(+D52*$E$21,2)</f>
        <v>10.14</v>
      </c>
    </row>
    <row r="53" spans="1:6" x14ac:dyDescent="0.25">
      <c r="A53" s="56" t="s">
        <v>2</v>
      </c>
      <c r="B53" s="337" t="s">
        <v>157</v>
      </c>
      <c r="C53" s="337"/>
      <c r="D53" s="58">
        <f>D34*D52</f>
        <v>4.0000000000000002E-4</v>
      </c>
      <c r="E53" s="46">
        <f t="shared" si="0"/>
        <v>0.88</v>
      </c>
    </row>
    <row r="54" spans="1:6" x14ac:dyDescent="0.25">
      <c r="A54" s="56" t="s">
        <v>3</v>
      </c>
      <c r="B54" s="310" t="s">
        <v>29</v>
      </c>
      <c r="C54" s="310"/>
      <c r="D54" s="58">
        <v>1.9400000000000001E-2</v>
      </c>
      <c r="E54" s="46">
        <f t="shared" si="0"/>
        <v>42.76</v>
      </c>
    </row>
    <row r="55" spans="1:6" x14ac:dyDescent="0.25">
      <c r="A55" s="56" t="s">
        <v>5</v>
      </c>
      <c r="B55" s="337" t="s">
        <v>158</v>
      </c>
      <c r="C55" s="337"/>
      <c r="D55" s="58">
        <f>D37*D54</f>
        <v>7.7000000000000002E-3</v>
      </c>
      <c r="E55" s="46">
        <f t="shared" si="0"/>
        <v>16.97</v>
      </c>
    </row>
    <row r="56" spans="1:6" ht="33" customHeight="1" x14ac:dyDescent="0.25">
      <c r="A56" s="56" t="s">
        <v>17</v>
      </c>
      <c r="B56" s="337" t="s">
        <v>211</v>
      </c>
      <c r="C56" s="337"/>
      <c r="D56" s="58">
        <f>4%</f>
        <v>0.04</v>
      </c>
      <c r="E56" s="46">
        <f>ROUND(+D56*$E$21,2)</f>
        <v>88.16</v>
      </c>
    </row>
    <row r="57" spans="1:6" x14ac:dyDescent="0.25">
      <c r="A57" s="335" t="s">
        <v>25</v>
      </c>
      <c r="B57" s="336"/>
      <c r="C57" s="336"/>
      <c r="D57" s="70">
        <f>SUM(D52:D56)</f>
        <v>7.2099999999999997E-2</v>
      </c>
      <c r="E57" s="54">
        <f>SUM(E52:E56)</f>
        <v>158.91</v>
      </c>
    </row>
    <row r="58" spans="1:6" x14ac:dyDescent="0.25">
      <c r="A58" s="311" t="s">
        <v>159</v>
      </c>
      <c r="B58" s="312"/>
      <c r="C58" s="312"/>
      <c r="D58" s="312"/>
      <c r="E58" s="313"/>
    </row>
    <row r="59" spans="1:6" x14ac:dyDescent="0.25">
      <c r="A59" s="80" t="s">
        <v>22</v>
      </c>
      <c r="B59" s="312" t="s">
        <v>160</v>
      </c>
      <c r="C59" s="312"/>
      <c r="D59" s="312"/>
      <c r="E59" s="39" t="s">
        <v>8</v>
      </c>
    </row>
    <row r="60" spans="1:6" x14ac:dyDescent="0.25">
      <c r="A60" s="56" t="s">
        <v>0</v>
      </c>
      <c r="B60" s="337" t="s">
        <v>161</v>
      </c>
      <c r="C60" s="337"/>
      <c r="D60" s="58">
        <f>((1+1/3)/12)/12</f>
        <v>9.2999999999999992E-3</v>
      </c>
      <c r="E60" s="46">
        <f>(E21+E49+E57+E79)*D60</f>
        <v>41.17</v>
      </c>
    </row>
    <row r="61" spans="1:6" x14ac:dyDescent="0.25">
      <c r="A61" s="56" t="s">
        <v>2</v>
      </c>
      <c r="B61" s="337" t="s">
        <v>162</v>
      </c>
      <c r="C61" s="337"/>
      <c r="D61" s="58">
        <v>1.66E-2</v>
      </c>
      <c r="E61" s="46">
        <f>(E21+E49+E57+E79)*D61</f>
        <v>73.48</v>
      </c>
      <c r="F61" t="s">
        <v>222</v>
      </c>
    </row>
    <row r="62" spans="1:6" x14ac:dyDescent="0.25">
      <c r="A62" s="56" t="s">
        <v>3</v>
      </c>
      <c r="B62" s="337" t="s">
        <v>163</v>
      </c>
      <c r="C62" s="337"/>
      <c r="D62" s="58">
        <f>(5/30)*(1/12)*6.24%*95.04%</f>
        <v>8.0000000000000004E-4</v>
      </c>
      <c r="E62" s="46">
        <f>(E21+E49+E57+E79)*D62</f>
        <v>3.54</v>
      </c>
      <c r="F62" t="s">
        <v>223</v>
      </c>
    </row>
    <row r="63" spans="1:6" x14ac:dyDescent="0.25">
      <c r="A63" s="56" t="s">
        <v>5</v>
      </c>
      <c r="B63" s="337" t="s">
        <v>164</v>
      </c>
      <c r="C63" s="337"/>
      <c r="D63" s="58">
        <f>(1/30)*(1/12)</f>
        <v>2.8E-3</v>
      </c>
      <c r="E63" s="46">
        <f>(E21+E49+E57+E79)*D63</f>
        <v>12.39</v>
      </c>
      <c r="F63" t="s">
        <v>224</v>
      </c>
    </row>
    <row r="64" spans="1:6" x14ac:dyDescent="0.25">
      <c r="A64" s="56" t="s">
        <v>17</v>
      </c>
      <c r="B64" s="337" t="s">
        <v>165</v>
      </c>
      <c r="C64" s="337"/>
      <c r="D64" s="58">
        <f>(0.91/30)*(1/12)</f>
        <v>2.5000000000000001E-3</v>
      </c>
      <c r="E64" s="46">
        <f>(E21+E49+E57+E79)*D64</f>
        <v>11.07</v>
      </c>
      <c r="F64" t="s">
        <v>225</v>
      </c>
    </row>
    <row r="65" spans="1:7" x14ac:dyDescent="0.25">
      <c r="A65" s="56" t="s">
        <v>18</v>
      </c>
      <c r="B65" s="340" t="s">
        <v>244</v>
      </c>
      <c r="C65" s="340"/>
      <c r="D65" s="117">
        <f>(7/30)*(1/24)</f>
        <v>9.7000000000000003E-3</v>
      </c>
      <c r="E65" s="46">
        <f>(E21+E49+E57+E79)*D65</f>
        <v>42.94</v>
      </c>
      <c r="F65" s="94" t="s">
        <v>226</v>
      </c>
    </row>
    <row r="66" spans="1:7" x14ac:dyDescent="0.25">
      <c r="A66" s="335" t="s">
        <v>166</v>
      </c>
      <c r="B66" s="336"/>
      <c r="C66" s="336"/>
      <c r="D66" s="70">
        <f>SUM(D60:D65)</f>
        <v>4.1700000000000001E-2</v>
      </c>
      <c r="E66" s="54">
        <f>SUM(E60:E65)</f>
        <v>184.59</v>
      </c>
    </row>
    <row r="67" spans="1:7" x14ac:dyDescent="0.25">
      <c r="A67" s="311"/>
      <c r="B67" s="312"/>
      <c r="C67" s="312"/>
      <c r="D67" s="312"/>
      <c r="E67" s="46"/>
    </row>
    <row r="68" spans="1:7" x14ac:dyDescent="0.25">
      <c r="A68" s="80" t="s">
        <v>123</v>
      </c>
      <c r="B68" s="314" t="s">
        <v>167</v>
      </c>
      <c r="C68" s="315"/>
      <c r="D68" s="315"/>
      <c r="E68" s="39" t="s">
        <v>8</v>
      </c>
    </row>
    <row r="69" spans="1:7" x14ac:dyDescent="0.25">
      <c r="A69" s="56" t="s">
        <v>0</v>
      </c>
      <c r="B69" s="337" t="s">
        <v>357</v>
      </c>
      <c r="C69" s="337"/>
      <c r="D69" s="337"/>
      <c r="E69" s="46">
        <f ca="1">' VIG. DIURNO HORISTA'!E93</f>
        <v>724.41</v>
      </c>
      <c r="G69" s="87"/>
    </row>
    <row r="70" spans="1:7" ht="12.75" customHeight="1" x14ac:dyDescent="0.25">
      <c r="A70" s="56" t="s">
        <v>2</v>
      </c>
      <c r="B70" s="341"/>
      <c r="C70" s="342"/>
      <c r="D70" s="219"/>
      <c r="E70" s="46"/>
      <c r="G70" s="87"/>
    </row>
    <row r="71" spans="1:7" x14ac:dyDescent="0.25">
      <c r="A71" s="335" t="s">
        <v>25</v>
      </c>
      <c r="B71" s="336"/>
      <c r="C71" s="336"/>
      <c r="D71" s="59"/>
      <c r="E71" s="54">
        <f ca="1">SUM(E69:E70)</f>
        <v>724.41</v>
      </c>
    </row>
    <row r="72" spans="1:7" x14ac:dyDescent="0.25">
      <c r="A72" s="311" t="s">
        <v>169</v>
      </c>
      <c r="B72" s="312"/>
      <c r="C72" s="312"/>
      <c r="D72" s="312"/>
      <c r="E72" s="46"/>
    </row>
    <row r="73" spans="1:7" x14ac:dyDescent="0.25">
      <c r="A73" s="80">
        <v>4</v>
      </c>
      <c r="B73" s="314" t="s">
        <v>30</v>
      </c>
      <c r="C73" s="315"/>
      <c r="D73" s="315"/>
      <c r="E73" s="39" t="s">
        <v>8</v>
      </c>
    </row>
    <row r="74" spans="1:7" x14ac:dyDescent="0.25">
      <c r="A74" s="56" t="s">
        <v>22</v>
      </c>
      <c r="B74" s="337" t="s">
        <v>160</v>
      </c>
      <c r="C74" s="337"/>
      <c r="D74" s="58">
        <f>D66</f>
        <v>4.1700000000000001E-2</v>
      </c>
      <c r="E74" s="46">
        <f>E66</f>
        <v>184.59</v>
      </c>
    </row>
    <row r="75" spans="1:7" x14ac:dyDescent="0.25">
      <c r="A75" s="56" t="s">
        <v>26</v>
      </c>
      <c r="B75" s="337" t="s">
        <v>167</v>
      </c>
      <c r="C75" s="337"/>
      <c r="D75" s="58"/>
      <c r="E75" s="46">
        <f ca="1">E71</f>
        <v>724.41</v>
      </c>
    </row>
    <row r="76" spans="1:7" x14ac:dyDescent="0.25">
      <c r="A76" s="335" t="s">
        <v>170</v>
      </c>
      <c r="B76" s="336"/>
      <c r="C76" s="336"/>
      <c r="D76" s="70">
        <f>SUM(D71:D75)</f>
        <v>4.1700000000000001E-2</v>
      </c>
      <c r="E76" s="54">
        <f ca="1">SUM(E74+E75)</f>
        <v>909</v>
      </c>
    </row>
    <row r="77" spans="1:7" x14ac:dyDescent="0.25">
      <c r="A77" s="311" t="s">
        <v>171</v>
      </c>
      <c r="B77" s="312"/>
      <c r="C77" s="312"/>
      <c r="D77" s="312"/>
      <c r="E77" s="313"/>
    </row>
    <row r="78" spans="1:7" x14ac:dyDescent="0.25">
      <c r="A78" s="80">
        <v>5</v>
      </c>
      <c r="B78" s="314" t="s">
        <v>172</v>
      </c>
      <c r="C78" s="315"/>
      <c r="D78" s="315"/>
      <c r="E78" s="39" t="s">
        <v>8</v>
      </c>
    </row>
    <row r="79" spans="1:7" x14ac:dyDescent="0.25">
      <c r="A79" s="56" t="s">
        <v>0</v>
      </c>
      <c r="B79" s="337" t="s">
        <v>173</v>
      </c>
      <c r="C79" s="337"/>
      <c r="D79" s="337"/>
      <c r="E79" s="46">
        <f>'Mat. Unif.-LOTE I'!I13</f>
        <v>68.239999999999995</v>
      </c>
    </row>
    <row r="80" spans="1:7" x14ac:dyDescent="0.25">
      <c r="A80" s="56" t="s">
        <v>2</v>
      </c>
      <c r="B80" s="337" t="s">
        <v>174</v>
      </c>
      <c r="C80" s="337"/>
      <c r="D80" s="337"/>
      <c r="E80" s="46">
        <f>'Mat. Unif.-LOTE I'!I22</f>
        <v>2.06</v>
      </c>
    </row>
    <row r="81" spans="1:7" x14ac:dyDescent="0.25">
      <c r="A81" s="56" t="s">
        <v>3</v>
      </c>
      <c r="B81" s="337" t="s">
        <v>175</v>
      </c>
      <c r="C81" s="337"/>
      <c r="D81" s="337"/>
      <c r="E81" s="46">
        <f>'Mat. Unif.-LOTE I'!I36</f>
        <v>78.989999999999995</v>
      </c>
    </row>
    <row r="82" spans="1:7" x14ac:dyDescent="0.25">
      <c r="A82" s="56" t="s">
        <v>5</v>
      </c>
      <c r="B82" s="356" t="s">
        <v>296</v>
      </c>
      <c r="C82" s="357"/>
      <c r="D82" s="342"/>
      <c r="E82" s="46">
        <f>'Mat. Unif.-LOTE I'!I41</f>
        <v>81.87</v>
      </c>
    </row>
    <row r="83" spans="1:7" x14ac:dyDescent="0.25">
      <c r="A83" s="56" t="s">
        <v>17</v>
      </c>
      <c r="B83" s="356" t="s">
        <v>386</v>
      </c>
      <c r="C83" s="357"/>
      <c r="D83" s="342"/>
      <c r="E83" s="46">
        <f>'Mat. Unif.-LOTE I'!J43</f>
        <v>37.9</v>
      </c>
    </row>
    <row r="84" spans="1:7" x14ac:dyDescent="0.25">
      <c r="A84" s="56" t="s">
        <v>18</v>
      </c>
      <c r="B84" s="356" t="s">
        <v>207</v>
      </c>
      <c r="C84" s="357"/>
      <c r="D84" s="342"/>
      <c r="E84" s="46">
        <v>33.869999999999997</v>
      </c>
    </row>
    <row r="85" spans="1:7" x14ac:dyDescent="0.25">
      <c r="A85" s="335" t="s">
        <v>176</v>
      </c>
      <c r="B85" s="336"/>
      <c r="C85" s="336"/>
      <c r="D85" s="70" t="s">
        <v>123</v>
      </c>
      <c r="E85" s="54">
        <f>SUM(E79:E84)</f>
        <v>302.93</v>
      </c>
    </row>
    <row r="86" spans="1:7" x14ac:dyDescent="0.25">
      <c r="A86" s="344" t="s">
        <v>31</v>
      </c>
      <c r="B86" s="346"/>
      <c r="C86" s="346" t="s">
        <v>25</v>
      </c>
      <c r="D86" s="346"/>
      <c r="E86" s="46">
        <f ca="1">SUM(E21+E49+E57+E76+E85)</f>
        <v>5570.27</v>
      </c>
    </row>
    <row r="87" spans="1:7" ht="30.75" customHeight="1" x14ac:dyDescent="0.25">
      <c r="A87" s="347" t="s">
        <v>242</v>
      </c>
      <c r="B87" s="348"/>
      <c r="C87" s="348"/>
      <c r="D87" s="118"/>
      <c r="E87" s="54">
        <f ca="1">E86</f>
        <v>5570.27</v>
      </c>
    </row>
    <row r="88" spans="1:7" x14ac:dyDescent="0.25">
      <c r="A88" s="311" t="s">
        <v>177</v>
      </c>
      <c r="B88" s="312"/>
      <c r="C88" s="312"/>
      <c r="D88" s="312"/>
      <c r="E88" s="313"/>
    </row>
    <row r="89" spans="1:7" x14ac:dyDescent="0.25">
      <c r="A89" s="80">
        <v>6</v>
      </c>
      <c r="B89" s="314" t="s">
        <v>32</v>
      </c>
      <c r="C89" s="315"/>
      <c r="D89" s="315"/>
      <c r="E89" s="39" t="s">
        <v>8</v>
      </c>
    </row>
    <row r="90" spans="1:7" x14ac:dyDescent="0.25">
      <c r="A90" s="80" t="s">
        <v>0</v>
      </c>
      <c r="B90" s="149" t="s">
        <v>33</v>
      </c>
      <c r="C90" s="343">
        <v>0.06</v>
      </c>
      <c r="D90" s="343"/>
      <c r="E90" s="46">
        <f ca="1">+E87*C90</f>
        <v>334.22</v>
      </c>
      <c r="G90" s="236"/>
    </row>
    <row r="91" spans="1:7" x14ac:dyDescent="0.25">
      <c r="A91" s="80" t="s">
        <v>2</v>
      </c>
      <c r="B91" s="149" t="s">
        <v>34</v>
      </c>
      <c r="C91" s="343">
        <v>6.7900000000000002E-2</v>
      </c>
      <c r="D91" s="343"/>
      <c r="E91" s="46">
        <f ca="1">C91*(+E87+E90)</f>
        <v>400.91</v>
      </c>
      <c r="G91" s="236"/>
    </row>
    <row r="92" spans="1:7" ht="36" customHeight="1" x14ac:dyDescent="0.25">
      <c r="A92" s="344" t="s">
        <v>3</v>
      </c>
      <c r="B92" s="345" t="s">
        <v>44</v>
      </c>
      <c r="C92" s="345"/>
      <c r="D92" s="71">
        <f>+(100-8.65)/100</f>
        <v>0.91349999999999998</v>
      </c>
      <c r="E92" s="46">
        <f ca="1">+E87+E90+E91</f>
        <v>6305.4</v>
      </c>
    </row>
    <row r="93" spans="1:7" x14ac:dyDescent="0.25">
      <c r="A93" s="344"/>
      <c r="B93" s="148" t="s">
        <v>35</v>
      </c>
      <c r="C93" s="60"/>
      <c r="D93" s="60"/>
      <c r="E93" s="201">
        <f ca="1">+E92/D92</f>
        <v>6902.46</v>
      </c>
    </row>
    <row r="94" spans="1:7" x14ac:dyDescent="0.25">
      <c r="A94" s="344"/>
      <c r="B94" s="148" t="s">
        <v>36</v>
      </c>
      <c r="C94" s="148"/>
      <c r="D94" s="148"/>
      <c r="E94" s="46"/>
    </row>
    <row r="95" spans="1:7" x14ac:dyDescent="0.25">
      <c r="A95" s="344"/>
      <c r="B95" s="53" t="s">
        <v>208</v>
      </c>
      <c r="C95" s="61"/>
      <c r="D95" s="58">
        <v>6.4999999999999997E-3</v>
      </c>
      <c r="E95" s="46">
        <f ca="1">+E93*D95</f>
        <v>44.87</v>
      </c>
    </row>
    <row r="96" spans="1:7" x14ac:dyDescent="0.25">
      <c r="A96" s="344"/>
      <c r="B96" s="53" t="s">
        <v>209</v>
      </c>
      <c r="C96" s="61"/>
      <c r="D96" s="58">
        <v>0.03</v>
      </c>
      <c r="E96" s="46">
        <f ca="1">+E93*D96</f>
        <v>207.07</v>
      </c>
    </row>
    <row r="97" spans="1:7" x14ac:dyDescent="0.25">
      <c r="A97" s="344"/>
      <c r="B97" s="120" t="s">
        <v>37</v>
      </c>
      <c r="C97" s="73"/>
      <c r="D97" s="60"/>
      <c r="E97" s="46"/>
    </row>
    <row r="98" spans="1:7" x14ac:dyDescent="0.25">
      <c r="A98" s="344"/>
      <c r="B98" s="120" t="s">
        <v>38</v>
      </c>
      <c r="C98" s="73"/>
      <c r="D98" s="73"/>
      <c r="E98" s="46"/>
    </row>
    <row r="99" spans="1:7" x14ac:dyDescent="0.25">
      <c r="A99" s="344"/>
      <c r="B99" s="53" t="s">
        <v>247</v>
      </c>
      <c r="C99" s="61"/>
      <c r="D99" s="58">
        <v>0.05</v>
      </c>
      <c r="E99" s="46">
        <f ca="1">+E93*D99</f>
        <v>345.12</v>
      </c>
    </row>
    <row r="100" spans="1:7" x14ac:dyDescent="0.25">
      <c r="A100" s="80"/>
      <c r="B100" s="60" t="s">
        <v>39</v>
      </c>
      <c r="C100" s="60"/>
      <c r="D100" s="121">
        <f>SUM(D95:D99)</f>
        <v>8.6499999999999994E-2</v>
      </c>
      <c r="E100" s="46">
        <f ca="1">SUM(E95:E99)</f>
        <v>597.05999999999995</v>
      </c>
      <c r="G100" s="236"/>
    </row>
    <row r="101" spans="1:7" x14ac:dyDescent="0.25">
      <c r="A101" s="335" t="s">
        <v>40</v>
      </c>
      <c r="B101" s="336"/>
      <c r="C101" s="336"/>
      <c r="D101" s="336"/>
      <c r="E101" s="54">
        <f ca="1">+E90+E91+E100</f>
        <v>1332.19</v>
      </c>
      <c r="G101" s="236"/>
    </row>
    <row r="102" spans="1:7" x14ac:dyDescent="0.25">
      <c r="A102" s="344" t="s">
        <v>41</v>
      </c>
      <c r="B102" s="346"/>
      <c r="C102" s="346"/>
      <c r="D102" s="346"/>
      <c r="E102" s="39" t="s">
        <v>8</v>
      </c>
    </row>
    <row r="103" spans="1:7" x14ac:dyDescent="0.25">
      <c r="A103" s="80" t="s">
        <v>0</v>
      </c>
      <c r="B103" s="314" t="s">
        <v>42</v>
      </c>
      <c r="C103" s="314"/>
      <c r="D103" s="314"/>
      <c r="E103" s="46">
        <f>+E21</f>
        <v>2204.06</v>
      </c>
    </row>
    <row r="104" spans="1:7" x14ac:dyDescent="0.25">
      <c r="A104" s="80" t="s">
        <v>2</v>
      </c>
      <c r="B104" s="314" t="s">
        <v>178</v>
      </c>
      <c r="C104" s="314"/>
      <c r="D104" s="314"/>
      <c r="E104" s="46">
        <f>E49</f>
        <v>1995.37</v>
      </c>
    </row>
    <row r="105" spans="1:7" x14ac:dyDescent="0.25">
      <c r="A105" s="80" t="s">
        <v>3</v>
      </c>
      <c r="B105" s="314" t="s">
        <v>179</v>
      </c>
      <c r="C105" s="314"/>
      <c r="D105" s="314"/>
      <c r="E105" s="46">
        <f>E57</f>
        <v>158.91</v>
      </c>
    </row>
    <row r="106" spans="1:7" x14ac:dyDescent="0.25">
      <c r="A106" s="80" t="s">
        <v>5</v>
      </c>
      <c r="B106" s="314" t="s">
        <v>180</v>
      </c>
      <c r="C106" s="314"/>
      <c r="D106" s="314"/>
      <c r="E106" s="46">
        <f ca="1">E76</f>
        <v>909</v>
      </c>
    </row>
    <row r="107" spans="1:7" x14ac:dyDescent="0.25">
      <c r="A107" s="80" t="s">
        <v>17</v>
      </c>
      <c r="B107" s="314" t="s">
        <v>181</v>
      </c>
      <c r="C107" s="314"/>
      <c r="D107" s="314"/>
      <c r="E107" s="46">
        <f>E85</f>
        <v>302.93</v>
      </c>
    </row>
    <row r="108" spans="1:7" x14ac:dyDescent="0.25">
      <c r="A108" s="349" t="s">
        <v>364</v>
      </c>
      <c r="B108" s="350"/>
      <c r="C108" s="350"/>
      <c r="D108" s="67"/>
      <c r="E108" s="46">
        <f ca="1">SUM(E103:E107)</f>
        <v>5570.27</v>
      </c>
    </row>
    <row r="109" spans="1:7" x14ac:dyDescent="0.25">
      <c r="A109" s="80" t="s">
        <v>18</v>
      </c>
      <c r="B109" s="314" t="s">
        <v>243</v>
      </c>
      <c r="C109" s="314"/>
      <c r="D109" s="314"/>
      <c r="E109" s="46">
        <f ca="1">+E101</f>
        <v>1332.19</v>
      </c>
    </row>
    <row r="110" spans="1:7" x14ac:dyDescent="0.25">
      <c r="A110" s="347" t="s">
        <v>43</v>
      </c>
      <c r="B110" s="348"/>
      <c r="C110" s="348"/>
      <c r="D110" s="348"/>
      <c r="E110" s="54">
        <f ca="1">+E108+E109</f>
        <v>6902.46</v>
      </c>
    </row>
    <row r="111" spans="1:7" x14ac:dyDescent="0.25">
      <c r="A111" s="351" t="s">
        <v>307</v>
      </c>
      <c r="B111" s="352"/>
      <c r="C111" s="352"/>
      <c r="D111" s="352"/>
      <c r="E111" s="202">
        <f ca="1">E110*2</f>
        <v>13804.92</v>
      </c>
    </row>
    <row r="112" spans="1:7" ht="19.5" customHeight="1" thickBot="1" x14ac:dyDescent="0.3">
      <c r="A112" s="353"/>
      <c r="B112" s="354"/>
      <c r="C112" s="354"/>
      <c r="D112" s="354"/>
      <c r="E112" s="355"/>
    </row>
  </sheetData>
  <mergeCells count="104">
    <mergeCell ref="A108:C108"/>
    <mergeCell ref="B109:D109"/>
    <mergeCell ref="A110:D110"/>
    <mergeCell ref="A111:D111"/>
    <mergeCell ref="A112:E112"/>
    <mergeCell ref="A102:D102"/>
    <mergeCell ref="B103:D103"/>
    <mergeCell ref="B104:D104"/>
    <mergeCell ref="B105:D105"/>
    <mergeCell ref="B106:D106"/>
    <mergeCell ref="B107:D107"/>
    <mergeCell ref="B89:D89"/>
    <mergeCell ref="C90:D90"/>
    <mergeCell ref="C91:D91"/>
    <mergeCell ref="A92:A99"/>
    <mergeCell ref="B92:C92"/>
    <mergeCell ref="A101:D101"/>
    <mergeCell ref="A85:C85"/>
    <mergeCell ref="A86:B86"/>
    <mergeCell ref="C86:D86"/>
    <mergeCell ref="A87:C87"/>
    <mergeCell ref="A88:E88"/>
    <mergeCell ref="A76:C76"/>
    <mergeCell ref="A77:E77"/>
    <mergeCell ref="B78:D78"/>
    <mergeCell ref="B79:D79"/>
    <mergeCell ref="B80:D80"/>
    <mergeCell ref="B81:D81"/>
    <mergeCell ref="B69:D69"/>
    <mergeCell ref="A71:C71"/>
    <mergeCell ref="A72:D72"/>
    <mergeCell ref="B73:D73"/>
    <mergeCell ref="B74:C74"/>
    <mergeCell ref="B75:C75"/>
    <mergeCell ref="B70:C70"/>
    <mergeCell ref="B63:C63"/>
    <mergeCell ref="B64:C64"/>
    <mergeCell ref="B65:C65"/>
    <mergeCell ref="A66:C66"/>
    <mergeCell ref="A67:D67"/>
    <mergeCell ref="B68:D68"/>
    <mergeCell ref="A57:C57"/>
    <mergeCell ref="A58:E58"/>
    <mergeCell ref="B59:D59"/>
    <mergeCell ref="B60:C60"/>
    <mergeCell ref="B61:C61"/>
    <mergeCell ref="B62:C62"/>
    <mergeCell ref="B51:D51"/>
    <mergeCell ref="B52:C52"/>
    <mergeCell ref="B53:C53"/>
    <mergeCell ref="B54:C54"/>
    <mergeCell ref="B55:C55"/>
    <mergeCell ref="B56:C56"/>
    <mergeCell ref="A45:D45"/>
    <mergeCell ref="B46:D46"/>
    <mergeCell ref="B47:D47"/>
    <mergeCell ref="B48:D48"/>
    <mergeCell ref="A49:C49"/>
    <mergeCell ref="A50:E50"/>
    <mergeCell ref="B39:C39"/>
    <mergeCell ref="B40:C40"/>
    <mergeCell ref="B41:C41"/>
    <mergeCell ref="B42:C42"/>
    <mergeCell ref="B43:C43"/>
    <mergeCell ref="A44:D44"/>
    <mergeCell ref="B33:C33"/>
    <mergeCell ref="B34:C34"/>
    <mergeCell ref="B35:C35"/>
    <mergeCell ref="B36:C36"/>
    <mergeCell ref="A37:C37"/>
    <mergeCell ref="B38:D38"/>
    <mergeCell ref="B30:C30"/>
    <mergeCell ref="B31:C31"/>
    <mergeCell ref="B32:C32"/>
    <mergeCell ref="A21:D21"/>
    <mergeCell ref="A22:E22"/>
    <mergeCell ref="B23:D23"/>
    <mergeCell ref="B24:C24"/>
    <mergeCell ref="B25:C25"/>
    <mergeCell ref="A26:C26"/>
    <mergeCell ref="B84:D84"/>
    <mergeCell ref="B83:D83"/>
    <mergeCell ref="B82:D82"/>
    <mergeCell ref="A1:E1"/>
    <mergeCell ref="A2:E2"/>
    <mergeCell ref="C3:E3"/>
    <mergeCell ref="C4:E4"/>
    <mergeCell ref="C5:E5"/>
    <mergeCell ref="C6:E6"/>
    <mergeCell ref="B13:D13"/>
    <mergeCell ref="A14:E14"/>
    <mergeCell ref="B15:D15"/>
    <mergeCell ref="C16:D16"/>
    <mergeCell ref="C18:D18"/>
    <mergeCell ref="B19:D19"/>
    <mergeCell ref="A7:E7"/>
    <mergeCell ref="A8:E8"/>
    <mergeCell ref="A9:E9"/>
    <mergeCell ref="C10:E10"/>
    <mergeCell ref="B11:D11"/>
    <mergeCell ref="C12:E12"/>
    <mergeCell ref="A27:E27"/>
    <mergeCell ref="B28:D28"/>
    <mergeCell ref="B29:C29"/>
  </mergeCells>
  <hyperlinks>
    <hyperlink ref="B36" r:id="rId1" display="08 - Sebrae 0,3% ou 0,6% - IN nº 03, MPS/SRP/2005, Anexo II e III ver código da Tabela"/>
  </hyperlinks>
  <pageMargins left="0.51181102362204722" right="0.51181102362204722" top="0.78740157480314965" bottom="0.78740157480314965" header="0.31496062992125984" footer="0.31496062992125984"/>
  <pageSetup paperSize="9" scale="69" orientation="portrait" r:id="rId2"/>
  <rowBreaks count="1" manualBreakCount="1">
    <brk id="66" max="4" man="1"/>
  </rowBreaks>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39997558519241921"/>
  </sheetPr>
  <dimension ref="A1:J115"/>
  <sheetViews>
    <sheetView topLeftCell="A88" zoomScale="120" zoomScaleNormal="120" workbookViewId="0">
      <selection activeCell="E106" sqref="E106:E107"/>
    </sheetView>
  </sheetViews>
  <sheetFormatPr defaultRowHeight="15" x14ac:dyDescent="0.25"/>
  <cols>
    <col min="1" max="1" width="11.140625" customWidth="1"/>
    <col min="2" max="2" width="47.42578125" customWidth="1"/>
    <col min="3" max="3" width="27.140625" customWidth="1"/>
    <col min="4" max="4" width="22.140625" customWidth="1"/>
    <col min="5" max="5" width="24.42578125" customWidth="1"/>
    <col min="8" max="8" width="12.7109375" bestFit="1" customWidth="1"/>
    <col min="9" max="9" width="15" customWidth="1"/>
    <col min="10" max="10" width="12.28515625" customWidth="1"/>
  </cols>
  <sheetData>
    <row r="1" spans="1:10" ht="21" x14ac:dyDescent="0.25">
      <c r="A1" s="300" t="s">
        <v>246</v>
      </c>
      <c r="B1" s="301"/>
      <c r="C1" s="301"/>
      <c r="D1" s="301"/>
      <c r="E1" s="302"/>
    </row>
    <row r="2" spans="1:10" x14ac:dyDescent="0.25">
      <c r="A2" s="303" t="s">
        <v>182</v>
      </c>
      <c r="B2" s="304"/>
      <c r="C2" s="304"/>
      <c r="D2" s="304"/>
      <c r="E2" s="305"/>
    </row>
    <row r="3" spans="1:10" x14ac:dyDescent="0.25">
      <c r="A3" s="37" t="s">
        <v>0</v>
      </c>
      <c r="B3" s="103" t="s">
        <v>1</v>
      </c>
      <c r="C3" s="306" t="s">
        <v>366</v>
      </c>
      <c r="D3" s="306"/>
      <c r="E3" s="307"/>
    </row>
    <row r="4" spans="1:10" x14ac:dyDescent="0.25">
      <c r="A4" s="37" t="s">
        <v>2</v>
      </c>
      <c r="B4" s="103" t="s">
        <v>125</v>
      </c>
      <c r="C4" s="308" t="s">
        <v>182</v>
      </c>
      <c r="D4" s="308"/>
      <c r="E4" s="309"/>
    </row>
    <row r="5" spans="1:10" ht="25.5" x14ac:dyDescent="0.25">
      <c r="A5" s="37" t="s">
        <v>3</v>
      </c>
      <c r="B5" s="103" t="s">
        <v>4</v>
      </c>
      <c r="C5" s="308" t="s">
        <v>340</v>
      </c>
      <c r="D5" s="308"/>
      <c r="E5" s="309"/>
    </row>
    <row r="6" spans="1:10" x14ac:dyDescent="0.25">
      <c r="A6" s="37" t="s">
        <v>5</v>
      </c>
      <c r="B6" s="103" t="s">
        <v>133</v>
      </c>
      <c r="C6" s="308">
        <v>12</v>
      </c>
      <c r="D6" s="308"/>
      <c r="E6" s="309"/>
    </row>
    <row r="7" spans="1:10" x14ac:dyDescent="0.25">
      <c r="A7" s="358" t="s">
        <v>6</v>
      </c>
      <c r="B7" s="327"/>
      <c r="C7" s="327"/>
      <c r="D7" s="327"/>
      <c r="E7" s="328"/>
    </row>
    <row r="8" spans="1:10" x14ac:dyDescent="0.25">
      <c r="A8" s="324" t="s">
        <v>7</v>
      </c>
      <c r="B8" s="325"/>
      <c r="C8" s="325"/>
      <c r="D8" s="325"/>
      <c r="E8" s="326"/>
    </row>
    <row r="9" spans="1:10" x14ac:dyDescent="0.25">
      <c r="A9" s="324" t="s">
        <v>235</v>
      </c>
      <c r="B9" s="327"/>
      <c r="C9" s="327"/>
      <c r="D9" s="327"/>
      <c r="E9" s="328"/>
    </row>
    <row r="10" spans="1:10" ht="25.5" x14ac:dyDescent="0.25">
      <c r="A10" s="37">
        <v>1</v>
      </c>
      <c r="B10" s="40" t="s">
        <v>124</v>
      </c>
      <c r="C10" s="329" t="s">
        <v>375</v>
      </c>
      <c r="D10" s="329"/>
      <c r="E10" s="330"/>
    </row>
    <row r="11" spans="1:10" x14ac:dyDescent="0.25">
      <c r="A11" s="37">
        <v>2</v>
      </c>
      <c r="B11" s="331" t="s">
        <v>9</v>
      </c>
      <c r="C11" s="331"/>
      <c r="D11" s="331"/>
      <c r="E11" s="198">
        <v>1695.43</v>
      </c>
    </row>
    <row r="12" spans="1:10" x14ac:dyDescent="0.25">
      <c r="A12" s="37">
        <v>3</v>
      </c>
      <c r="B12" s="40" t="s">
        <v>10</v>
      </c>
      <c r="C12" s="329" t="s">
        <v>252</v>
      </c>
      <c r="D12" s="329"/>
      <c r="E12" s="330"/>
    </row>
    <row r="13" spans="1:10" x14ac:dyDescent="0.25">
      <c r="A13" s="37">
        <v>4</v>
      </c>
      <c r="B13" s="310" t="s">
        <v>11</v>
      </c>
      <c r="C13" s="310"/>
      <c r="D13" s="310"/>
      <c r="E13" s="221" t="s">
        <v>341</v>
      </c>
    </row>
    <row r="14" spans="1:10" x14ac:dyDescent="0.25">
      <c r="A14" s="311" t="s">
        <v>12</v>
      </c>
      <c r="B14" s="312"/>
      <c r="C14" s="312"/>
      <c r="D14" s="312"/>
      <c r="E14" s="313"/>
      <c r="I14" s="125"/>
      <c r="J14" s="125"/>
    </row>
    <row r="15" spans="1:10" x14ac:dyDescent="0.25">
      <c r="A15" s="80">
        <v>1</v>
      </c>
      <c r="B15" s="314" t="s">
        <v>13</v>
      </c>
      <c r="C15" s="315"/>
      <c r="D15" s="315"/>
      <c r="E15" s="39" t="s">
        <v>8</v>
      </c>
      <c r="J15" s="125"/>
    </row>
    <row r="16" spans="1:10" x14ac:dyDescent="0.25">
      <c r="A16" s="48" t="s">
        <v>0</v>
      </c>
      <c r="B16" s="49" t="s">
        <v>14</v>
      </c>
      <c r="C16" s="316"/>
      <c r="D16" s="316"/>
      <c r="E16" s="50">
        <f>+E11</f>
        <v>1695.43</v>
      </c>
    </row>
    <row r="17" spans="1:5" x14ac:dyDescent="0.25">
      <c r="A17" s="48" t="s">
        <v>2</v>
      </c>
      <c r="B17" s="52" t="s">
        <v>204</v>
      </c>
      <c r="C17" s="150">
        <v>0</v>
      </c>
      <c r="D17" s="107">
        <v>1412</v>
      </c>
      <c r="E17" s="199">
        <f>D17*C17</f>
        <v>0</v>
      </c>
    </row>
    <row r="18" spans="1:5" ht="17.25" customHeight="1" x14ac:dyDescent="0.25">
      <c r="A18" s="48" t="s">
        <v>3</v>
      </c>
      <c r="B18" s="49" t="s">
        <v>16</v>
      </c>
      <c r="C18" s="317">
        <v>0</v>
      </c>
      <c r="D18" s="318"/>
      <c r="E18" s="199">
        <f>0</f>
        <v>0</v>
      </c>
    </row>
    <row r="19" spans="1:5" ht="14.25" customHeight="1" x14ac:dyDescent="0.25">
      <c r="A19" s="48" t="s">
        <v>123</v>
      </c>
      <c r="B19" s="319" t="s">
        <v>210</v>
      </c>
      <c r="C19" s="320"/>
      <c r="D19" s="320"/>
      <c r="E19" s="51">
        <f>SUM(E16:E18)</f>
        <v>1695.43</v>
      </c>
    </row>
    <row r="20" spans="1:5" ht="19.5" customHeight="1" x14ac:dyDescent="0.25">
      <c r="A20" s="48" t="s">
        <v>5</v>
      </c>
      <c r="B20" s="49" t="s">
        <v>15</v>
      </c>
      <c r="C20" s="110">
        <v>0.3</v>
      </c>
      <c r="D20" s="111">
        <f>E19</f>
        <v>1695.43</v>
      </c>
      <c r="E20" s="199">
        <f>E19*C20</f>
        <v>508.63</v>
      </c>
    </row>
    <row r="21" spans="1:5" x14ac:dyDescent="0.25">
      <c r="A21" s="335" t="s">
        <v>20</v>
      </c>
      <c r="B21" s="336"/>
      <c r="C21" s="336"/>
      <c r="D21" s="336"/>
      <c r="E21" s="54">
        <f>SUM(E19:E20)</f>
        <v>2204.06</v>
      </c>
    </row>
    <row r="22" spans="1:5" x14ac:dyDescent="0.25">
      <c r="A22" s="311" t="s">
        <v>45</v>
      </c>
      <c r="B22" s="312"/>
      <c r="C22" s="312"/>
      <c r="D22" s="312"/>
      <c r="E22" s="313"/>
    </row>
    <row r="23" spans="1:5" x14ac:dyDescent="0.25">
      <c r="A23" s="80" t="s">
        <v>134</v>
      </c>
      <c r="B23" s="314" t="s">
        <v>135</v>
      </c>
      <c r="C23" s="315"/>
      <c r="D23" s="315"/>
      <c r="E23" s="39" t="s">
        <v>8</v>
      </c>
    </row>
    <row r="24" spans="1:5" x14ac:dyDescent="0.25">
      <c r="A24" s="56" t="s">
        <v>0</v>
      </c>
      <c r="B24" s="337" t="s">
        <v>27</v>
      </c>
      <c r="C24" s="337"/>
      <c r="D24" s="58">
        <f>1/12</f>
        <v>8.3299999999999999E-2</v>
      </c>
      <c r="E24" s="46">
        <f>ROUND(+$E$21*D24,2)</f>
        <v>183.6</v>
      </c>
    </row>
    <row r="25" spans="1:5" x14ac:dyDescent="0.25">
      <c r="A25" s="56" t="s">
        <v>2</v>
      </c>
      <c r="B25" s="337" t="s">
        <v>136</v>
      </c>
      <c r="C25" s="337"/>
      <c r="D25" s="58">
        <v>0.1111</v>
      </c>
      <c r="E25" s="46">
        <f>ROUND(+$E$21*D25,2)</f>
        <v>244.87</v>
      </c>
    </row>
    <row r="26" spans="1:5" x14ac:dyDescent="0.25">
      <c r="A26" s="335" t="s">
        <v>25</v>
      </c>
      <c r="B26" s="336"/>
      <c r="C26" s="338"/>
      <c r="D26" s="59">
        <f>SUM(D24:D25)</f>
        <v>0.19439999999999999</v>
      </c>
      <c r="E26" s="54">
        <f>SUM(E24:E25)</f>
        <v>428.47</v>
      </c>
    </row>
    <row r="27" spans="1:5" ht="29.25" customHeight="1" x14ac:dyDescent="0.25">
      <c r="A27" s="332" t="s">
        <v>137</v>
      </c>
      <c r="B27" s="333"/>
      <c r="C27" s="333"/>
      <c r="D27" s="333"/>
      <c r="E27" s="334"/>
    </row>
    <row r="28" spans="1:5" x14ac:dyDescent="0.25">
      <c r="A28" s="80" t="s">
        <v>138</v>
      </c>
      <c r="B28" s="314" t="s">
        <v>23</v>
      </c>
      <c r="C28" s="315"/>
      <c r="D28" s="315"/>
      <c r="E28" s="39" t="s">
        <v>8</v>
      </c>
    </row>
    <row r="29" spans="1:5" x14ac:dyDescent="0.25">
      <c r="A29" s="56" t="s">
        <v>0</v>
      </c>
      <c r="B29" s="310" t="s">
        <v>139</v>
      </c>
      <c r="C29" s="310"/>
      <c r="D29" s="58">
        <v>0.2</v>
      </c>
      <c r="E29" s="46">
        <f>(E21+E26)*D29</f>
        <v>526.51</v>
      </c>
    </row>
    <row r="30" spans="1:5" x14ac:dyDescent="0.25">
      <c r="A30" s="56" t="s">
        <v>2</v>
      </c>
      <c r="B30" s="310" t="s">
        <v>140</v>
      </c>
      <c r="C30" s="310"/>
      <c r="D30" s="58">
        <v>1.4999999999999999E-2</v>
      </c>
      <c r="E30" s="46">
        <f>(E21+E26)*D30</f>
        <v>39.49</v>
      </c>
    </row>
    <row r="31" spans="1:5" x14ac:dyDescent="0.25">
      <c r="A31" s="56" t="s">
        <v>3</v>
      </c>
      <c r="B31" s="310" t="s">
        <v>240</v>
      </c>
      <c r="C31" s="310"/>
      <c r="D31" s="58">
        <v>0.01</v>
      </c>
      <c r="E31" s="46">
        <f>(E21+E26)*D31</f>
        <v>26.33</v>
      </c>
    </row>
    <row r="32" spans="1:5" x14ac:dyDescent="0.25">
      <c r="A32" s="56" t="s">
        <v>5</v>
      </c>
      <c r="B32" s="310" t="s">
        <v>142</v>
      </c>
      <c r="C32" s="310"/>
      <c r="D32" s="58">
        <v>2E-3</v>
      </c>
      <c r="E32" s="46">
        <f>(E21+E26)*D32</f>
        <v>5.27</v>
      </c>
    </row>
    <row r="33" spans="1:9" x14ac:dyDescent="0.25">
      <c r="A33" s="56" t="s">
        <v>17</v>
      </c>
      <c r="B33" s="310" t="s">
        <v>241</v>
      </c>
      <c r="C33" s="310"/>
      <c r="D33" s="58">
        <v>2.5000000000000001E-2</v>
      </c>
      <c r="E33" s="46">
        <f>(E21+E26)*D33</f>
        <v>65.81</v>
      </c>
    </row>
    <row r="34" spans="1:9" x14ac:dyDescent="0.25">
      <c r="A34" s="56" t="s">
        <v>18</v>
      </c>
      <c r="B34" s="310" t="s">
        <v>144</v>
      </c>
      <c r="C34" s="310"/>
      <c r="D34" s="58">
        <v>0.08</v>
      </c>
      <c r="E34" s="46">
        <f>(E21+E26)*D34</f>
        <v>210.6</v>
      </c>
    </row>
    <row r="35" spans="1:9" x14ac:dyDescent="0.25">
      <c r="A35" s="56" t="s">
        <v>19</v>
      </c>
      <c r="B35" s="310" t="s">
        <v>145</v>
      </c>
      <c r="C35" s="310"/>
      <c r="D35" s="58">
        <v>0.06</v>
      </c>
      <c r="E35" s="46">
        <f>(E21+E26)*D35</f>
        <v>157.94999999999999</v>
      </c>
    </row>
    <row r="36" spans="1:9" x14ac:dyDescent="0.25">
      <c r="A36" s="63" t="s">
        <v>24</v>
      </c>
      <c r="B36" s="339" t="s">
        <v>146</v>
      </c>
      <c r="C36" s="339"/>
      <c r="D36" s="66">
        <v>6.0000000000000001E-3</v>
      </c>
      <c r="E36" s="55">
        <f>(E21+E26)*D36</f>
        <v>15.8</v>
      </c>
    </row>
    <row r="37" spans="1:9" x14ac:dyDescent="0.25">
      <c r="A37" s="335" t="s">
        <v>25</v>
      </c>
      <c r="B37" s="336"/>
      <c r="C37" s="338"/>
      <c r="D37" s="59">
        <f>SUM(D29:D36)</f>
        <v>0.39800000000000002</v>
      </c>
      <c r="E37" s="54">
        <f>SUM(E29:E36)</f>
        <v>1047.76</v>
      </c>
      <c r="I37">
        <f>15.21*2</f>
        <v>30.42</v>
      </c>
    </row>
    <row r="38" spans="1:9" x14ac:dyDescent="0.25">
      <c r="A38" s="80" t="s">
        <v>147</v>
      </c>
      <c r="B38" s="314" t="s">
        <v>148</v>
      </c>
      <c r="C38" s="315"/>
      <c r="D38" s="315"/>
      <c r="E38" s="39" t="s">
        <v>8</v>
      </c>
      <c r="I38">
        <f>I37*6</f>
        <v>182.52</v>
      </c>
    </row>
    <row r="39" spans="1:9" ht="15" customHeight="1" x14ac:dyDescent="0.25">
      <c r="A39" s="56" t="s">
        <v>0</v>
      </c>
      <c r="B39" s="337" t="s">
        <v>342</v>
      </c>
      <c r="C39" s="337"/>
      <c r="D39" s="98">
        <v>6</v>
      </c>
      <c r="E39" s="200">
        <f>(D39*30.42)-(E16*0.06)</f>
        <v>80.790000000000006</v>
      </c>
      <c r="I39" s="125">
        <f>E19*6%</f>
        <v>101.73</v>
      </c>
    </row>
    <row r="40" spans="1:9" ht="24" customHeight="1" x14ac:dyDescent="0.25">
      <c r="A40" s="56" t="s">
        <v>2</v>
      </c>
      <c r="B40" s="337" t="s">
        <v>343</v>
      </c>
      <c r="C40" s="337"/>
      <c r="D40" s="89">
        <v>41</v>
      </c>
      <c r="E40" s="50">
        <f>(D40*15.21)-(D40*15.21*1%)</f>
        <v>617.37</v>
      </c>
      <c r="I40" s="125">
        <f>I38-I39</f>
        <v>80.790000000000006</v>
      </c>
    </row>
    <row r="41" spans="1:9" ht="15" customHeight="1" x14ac:dyDescent="0.25">
      <c r="A41" s="56" t="s">
        <v>3</v>
      </c>
      <c r="B41" s="337" t="s">
        <v>344</v>
      </c>
      <c r="C41" s="337"/>
      <c r="D41" s="92"/>
      <c r="E41" s="50">
        <f>((E11*16%) -(E11*1%))/12</f>
        <v>21.19</v>
      </c>
    </row>
    <row r="42" spans="1:9" ht="15" customHeight="1" x14ac:dyDescent="0.25">
      <c r="A42" s="56" t="s">
        <v>5</v>
      </c>
      <c r="B42" s="337" t="s">
        <v>345</v>
      </c>
      <c r="C42" s="337"/>
      <c r="D42" s="85">
        <v>14.16</v>
      </c>
      <c r="E42" s="200">
        <f>D42</f>
        <v>14.16</v>
      </c>
      <c r="H42" s="125"/>
    </row>
    <row r="43" spans="1:9" ht="15" customHeight="1" x14ac:dyDescent="0.25">
      <c r="A43" s="56" t="s">
        <v>17</v>
      </c>
      <c r="B43" s="337" t="s">
        <v>346</v>
      </c>
      <c r="C43" s="337"/>
      <c r="D43" s="85"/>
      <c r="E43" s="200">
        <f>(((E16+E20)*26+((E16)*5))/1000*0.21)</f>
        <v>13.81</v>
      </c>
      <c r="H43" s="125"/>
    </row>
    <row r="44" spans="1:9" ht="15.6" customHeight="1" x14ac:dyDescent="0.25">
      <c r="A44" s="335" t="s">
        <v>21</v>
      </c>
      <c r="B44" s="336"/>
      <c r="C44" s="336"/>
      <c r="D44" s="336"/>
      <c r="E44" s="54">
        <f>SUM(E39:E43)</f>
        <v>747.32</v>
      </c>
      <c r="H44" s="125"/>
    </row>
    <row r="45" spans="1:9" x14ac:dyDescent="0.25">
      <c r="A45" s="311" t="s">
        <v>150</v>
      </c>
      <c r="B45" s="312"/>
      <c r="C45" s="312"/>
      <c r="D45" s="312"/>
      <c r="E45" s="46"/>
      <c r="H45" s="125"/>
    </row>
    <row r="46" spans="1:9" x14ac:dyDescent="0.25">
      <c r="A46" s="80" t="s">
        <v>134</v>
      </c>
      <c r="B46" s="314" t="s">
        <v>151</v>
      </c>
      <c r="C46" s="315"/>
      <c r="D46" s="315"/>
      <c r="E46" s="47">
        <f>E26</f>
        <v>428.47</v>
      </c>
      <c r="H46" s="125"/>
    </row>
    <row r="47" spans="1:9" x14ac:dyDescent="0.25">
      <c r="A47" s="80" t="s">
        <v>138</v>
      </c>
      <c r="B47" s="337" t="s">
        <v>250</v>
      </c>
      <c r="C47" s="337"/>
      <c r="D47" s="337"/>
      <c r="E47" s="46">
        <f>E37</f>
        <v>1047.76</v>
      </c>
    </row>
    <row r="48" spans="1:9" x14ac:dyDescent="0.25">
      <c r="A48" s="80" t="s">
        <v>147</v>
      </c>
      <c r="B48" s="337" t="s">
        <v>153</v>
      </c>
      <c r="C48" s="337"/>
      <c r="D48" s="337"/>
      <c r="E48" s="46">
        <f>E44</f>
        <v>747.32</v>
      </c>
    </row>
    <row r="49" spans="1:6" x14ac:dyDescent="0.25">
      <c r="A49" s="335" t="s">
        <v>25</v>
      </c>
      <c r="B49" s="336"/>
      <c r="C49" s="338"/>
      <c r="D49" s="68" t="s">
        <v>123</v>
      </c>
      <c r="E49" s="54">
        <f>SUM(E46:E48)</f>
        <v>2223.5500000000002</v>
      </c>
    </row>
    <row r="50" spans="1:6" x14ac:dyDescent="0.25">
      <c r="A50" s="311" t="s">
        <v>154</v>
      </c>
      <c r="B50" s="312"/>
      <c r="C50" s="312"/>
      <c r="D50" s="312"/>
      <c r="E50" s="313"/>
    </row>
    <row r="51" spans="1:6" x14ac:dyDescent="0.25">
      <c r="A51" s="80" t="s">
        <v>155</v>
      </c>
      <c r="B51" s="314" t="s">
        <v>28</v>
      </c>
      <c r="C51" s="315"/>
      <c r="D51" s="315"/>
      <c r="E51" s="39" t="s">
        <v>8</v>
      </c>
    </row>
    <row r="52" spans="1:6" x14ac:dyDescent="0.25">
      <c r="A52" s="56" t="s">
        <v>0</v>
      </c>
      <c r="B52" s="337" t="s">
        <v>156</v>
      </c>
      <c r="C52" s="337"/>
      <c r="D52" s="58">
        <v>4.5999999999999999E-3</v>
      </c>
      <c r="E52" s="46">
        <f t="shared" ref="E52:E55" si="0">ROUND(+D52*$E$21,2)</f>
        <v>10.14</v>
      </c>
    </row>
    <row r="53" spans="1:6" x14ac:dyDescent="0.25">
      <c r="A53" s="56" t="s">
        <v>2</v>
      </c>
      <c r="B53" s="337" t="s">
        <v>157</v>
      </c>
      <c r="C53" s="337"/>
      <c r="D53" s="58">
        <f>D34*D52</f>
        <v>4.0000000000000002E-4</v>
      </c>
      <c r="E53" s="46">
        <f t="shared" si="0"/>
        <v>0.88</v>
      </c>
    </row>
    <row r="54" spans="1:6" x14ac:dyDescent="0.25">
      <c r="A54" s="56" t="s">
        <v>3</v>
      </c>
      <c r="B54" s="310" t="s">
        <v>29</v>
      </c>
      <c r="C54" s="310"/>
      <c r="D54" s="58">
        <v>1.9400000000000001E-2</v>
      </c>
      <c r="E54" s="46">
        <f t="shared" si="0"/>
        <v>42.76</v>
      </c>
    </row>
    <row r="55" spans="1:6" x14ac:dyDescent="0.25">
      <c r="A55" s="56" t="s">
        <v>5</v>
      </c>
      <c r="B55" s="337" t="s">
        <v>158</v>
      </c>
      <c r="C55" s="337"/>
      <c r="D55" s="58">
        <f>D37*D54</f>
        <v>7.7000000000000002E-3</v>
      </c>
      <c r="E55" s="46">
        <f t="shared" si="0"/>
        <v>16.97</v>
      </c>
    </row>
    <row r="56" spans="1:6" ht="33" customHeight="1" x14ac:dyDescent="0.25">
      <c r="A56" s="56" t="s">
        <v>17</v>
      </c>
      <c r="B56" s="337" t="s">
        <v>211</v>
      </c>
      <c r="C56" s="337"/>
      <c r="D56" s="58">
        <f>4%</f>
        <v>0.04</v>
      </c>
      <c r="E56" s="46">
        <f>ROUND(+D56*$E$21,2)</f>
        <v>88.16</v>
      </c>
    </row>
    <row r="57" spans="1:6" x14ac:dyDescent="0.25">
      <c r="A57" s="335" t="s">
        <v>25</v>
      </c>
      <c r="B57" s="336"/>
      <c r="C57" s="336"/>
      <c r="D57" s="70">
        <f>SUM(D52:D56)</f>
        <v>7.2099999999999997E-2</v>
      </c>
      <c r="E57" s="54">
        <f>SUM(E52:E56)</f>
        <v>158.91</v>
      </c>
    </row>
    <row r="58" spans="1:6" x14ac:dyDescent="0.25">
      <c r="A58" s="311" t="s">
        <v>159</v>
      </c>
      <c r="B58" s="312"/>
      <c r="C58" s="312"/>
      <c r="D58" s="312"/>
      <c r="E58" s="313"/>
    </row>
    <row r="59" spans="1:6" x14ac:dyDescent="0.25">
      <c r="A59" s="80" t="s">
        <v>22</v>
      </c>
      <c r="B59" s="312" t="s">
        <v>160</v>
      </c>
      <c r="C59" s="312"/>
      <c r="D59" s="312"/>
      <c r="E59" s="39" t="s">
        <v>8</v>
      </c>
    </row>
    <row r="60" spans="1:6" x14ac:dyDescent="0.25">
      <c r="A60" s="56" t="s">
        <v>0</v>
      </c>
      <c r="B60" s="337" t="s">
        <v>161</v>
      </c>
      <c r="C60" s="337"/>
      <c r="D60" s="58">
        <f>((1+1/3)/12)/12</f>
        <v>9.2999999999999992E-3</v>
      </c>
      <c r="E60" s="46">
        <f>(E21+E49+E57+E79)*D60</f>
        <v>43.29</v>
      </c>
    </row>
    <row r="61" spans="1:6" x14ac:dyDescent="0.25">
      <c r="A61" s="56" t="s">
        <v>2</v>
      </c>
      <c r="B61" s="337" t="s">
        <v>162</v>
      </c>
      <c r="C61" s="337"/>
      <c r="D61" s="58">
        <v>1.66E-2</v>
      </c>
      <c r="E61" s="46">
        <f>(E21+E49+E57+E79)*D61</f>
        <v>77.27</v>
      </c>
      <c r="F61" t="s">
        <v>222</v>
      </c>
    </row>
    <row r="62" spans="1:6" x14ac:dyDescent="0.25">
      <c r="A62" s="56" t="s">
        <v>3</v>
      </c>
      <c r="B62" s="337" t="s">
        <v>163</v>
      </c>
      <c r="C62" s="337"/>
      <c r="D62" s="58">
        <f>(5/30)*(1/12)*6.24%*95.04%</f>
        <v>8.0000000000000004E-4</v>
      </c>
      <c r="E62" s="46">
        <f>(E21+E49+E57+E79)*D62</f>
        <v>3.72</v>
      </c>
      <c r="F62" t="s">
        <v>223</v>
      </c>
    </row>
    <row r="63" spans="1:6" x14ac:dyDescent="0.25">
      <c r="A63" s="56" t="s">
        <v>5</v>
      </c>
      <c r="B63" s="337" t="s">
        <v>164</v>
      </c>
      <c r="C63" s="337"/>
      <c r="D63" s="58">
        <f>(1/30)*(1/12)</f>
        <v>2.8E-3</v>
      </c>
      <c r="E63" s="46">
        <f>(E21+E49+E57+E79)*D63</f>
        <v>13.03</v>
      </c>
      <c r="F63" t="s">
        <v>224</v>
      </c>
    </row>
    <row r="64" spans="1:6" x14ac:dyDescent="0.25">
      <c r="A64" s="56" t="s">
        <v>17</v>
      </c>
      <c r="B64" s="337" t="s">
        <v>165</v>
      </c>
      <c r="C64" s="337"/>
      <c r="D64" s="58">
        <f>(0.91/30)*(1/12)</f>
        <v>2.5000000000000001E-3</v>
      </c>
      <c r="E64" s="46">
        <f>(E21+E49+E57+E79)*D64</f>
        <v>11.64</v>
      </c>
      <c r="F64" t="s">
        <v>225</v>
      </c>
    </row>
    <row r="65" spans="1:7" x14ac:dyDescent="0.25">
      <c r="A65" s="56" t="s">
        <v>18</v>
      </c>
      <c r="B65" s="340" t="s">
        <v>244</v>
      </c>
      <c r="C65" s="340"/>
      <c r="D65" s="117">
        <f>(7/30)*(1/24)</f>
        <v>9.7000000000000003E-3</v>
      </c>
      <c r="E65" s="46">
        <f>(E21+E49+E57+E79)*D65</f>
        <v>45.15</v>
      </c>
      <c r="F65" s="94" t="s">
        <v>226</v>
      </c>
    </row>
    <row r="66" spans="1:7" x14ac:dyDescent="0.25">
      <c r="A66" s="335" t="s">
        <v>166</v>
      </c>
      <c r="B66" s="336"/>
      <c r="C66" s="336"/>
      <c r="D66" s="70">
        <f>SUM(D60:D65)</f>
        <v>4.1700000000000001E-2</v>
      </c>
      <c r="E66" s="54">
        <f>SUM(E60:E65)</f>
        <v>194.1</v>
      </c>
    </row>
    <row r="67" spans="1:7" x14ac:dyDescent="0.25">
      <c r="A67" s="311"/>
      <c r="B67" s="312"/>
      <c r="C67" s="312"/>
      <c r="D67" s="312"/>
      <c r="E67" s="46"/>
    </row>
    <row r="68" spans="1:7" x14ac:dyDescent="0.25">
      <c r="A68" s="80" t="s">
        <v>123</v>
      </c>
      <c r="B68" s="314" t="s">
        <v>167</v>
      </c>
      <c r="C68" s="315"/>
      <c r="D68" s="315"/>
      <c r="E68" s="39" t="s">
        <v>8</v>
      </c>
    </row>
    <row r="69" spans="1:7" x14ac:dyDescent="0.25">
      <c r="A69" s="56" t="s">
        <v>0</v>
      </c>
      <c r="B69" s="337" t="s">
        <v>357</v>
      </c>
      <c r="C69" s="337"/>
      <c r="D69" s="337"/>
      <c r="E69" s="46">
        <f ca="1">' VIG. DIURNO HORISTA'!E93</f>
        <v>724.41</v>
      </c>
      <c r="G69" s="87"/>
    </row>
    <row r="70" spans="1:7" ht="15.75" customHeight="1" x14ac:dyDescent="0.25">
      <c r="A70" s="56" t="s">
        <v>2</v>
      </c>
      <c r="B70" s="341"/>
      <c r="C70" s="342"/>
      <c r="D70" s="219"/>
      <c r="E70" s="46"/>
      <c r="G70" s="87"/>
    </row>
    <row r="71" spans="1:7" ht="18" customHeight="1" x14ac:dyDescent="0.25">
      <c r="A71" s="335" t="s">
        <v>25</v>
      </c>
      <c r="B71" s="336"/>
      <c r="C71" s="336"/>
      <c r="D71" s="59"/>
      <c r="E71" s="54">
        <f ca="1">SUM(E69:E70)</f>
        <v>724.41</v>
      </c>
    </row>
    <row r="72" spans="1:7" x14ac:dyDescent="0.25">
      <c r="A72" s="311" t="s">
        <v>169</v>
      </c>
      <c r="B72" s="312"/>
      <c r="C72" s="312"/>
      <c r="D72" s="312"/>
      <c r="E72" s="46"/>
    </row>
    <row r="73" spans="1:7" x14ac:dyDescent="0.25">
      <c r="A73" s="80">
        <v>4</v>
      </c>
      <c r="B73" s="314" t="s">
        <v>30</v>
      </c>
      <c r="C73" s="315"/>
      <c r="D73" s="315"/>
      <c r="E73" s="39" t="s">
        <v>8</v>
      </c>
    </row>
    <row r="74" spans="1:7" x14ac:dyDescent="0.25">
      <c r="A74" s="56" t="s">
        <v>22</v>
      </c>
      <c r="B74" s="337" t="s">
        <v>160</v>
      </c>
      <c r="C74" s="337"/>
      <c r="D74" s="58">
        <f>D66</f>
        <v>4.1700000000000001E-2</v>
      </c>
      <c r="E74" s="46">
        <f>E66</f>
        <v>194.1</v>
      </c>
    </row>
    <row r="75" spans="1:7" x14ac:dyDescent="0.25">
      <c r="A75" s="56" t="s">
        <v>26</v>
      </c>
      <c r="B75" s="337" t="s">
        <v>167</v>
      </c>
      <c r="C75" s="337"/>
      <c r="D75" s="58"/>
      <c r="E75" s="46">
        <f ca="1">E71</f>
        <v>724.41</v>
      </c>
    </row>
    <row r="76" spans="1:7" x14ac:dyDescent="0.25">
      <c r="A76" s="335" t="s">
        <v>170</v>
      </c>
      <c r="B76" s="336"/>
      <c r="C76" s="336"/>
      <c r="D76" s="70">
        <f>SUM(D71:D75)</f>
        <v>4.1700000000000001E-2</v>
      </c>
      <c r="E76" s="54">
        <f ca="1">SUM(E74+E75)</f>
        <v>918.51</v>
      </c>
    </row>
    <row r="77" spans="1:7" x14ac:dyDescent="0.25">
      <c r="A77" s="311" t="s">
        <v>171</v>
      </c>
      <c r="B77" s="312"/>
      <c r="C77" s="312"/>
      <c r="D77" s="312"/>
      <c r="E77" s="313"/>
    </row>
    <row r="78" spans="1:7" x14ac:dyDescent="0.25">
      <c r="A78" s="80">
        <v>5</v>
      </c>
      <c r="B78" s="314" t="s">
        <v>172</v>
      </c>
      <c r="C78" s="315"/>
      <c r="D78" s="315"/>
      <c r="E78" s="39" t="s">
        <v>8</v>
      </c>
    </row>
    <row r="79" spans="1:7" x14ac:dyDescent="0.25">
      <c r="A79" s="56" t="s">
        <v>0</v>
      </c>
      <c r="B79" s="337" t="s">
        <v>173</v>
      </c>
      <c r="C79" s="337"/>
      <c r="D79" s="337"/>
      <c r="E79" s="46">
        <f>'Mat. Unif.-LOTE I'!I13</f>
        <v>68.239999999999995</v>
      </c>
    </row>
    <row r="80" spans="1:7" x14ac:dyDescent="0.25">
      <c r="A80" s="56" t="s">
        <v>2</v>
      </c>
      <c r="B80" s="337" t="s">
        <v>174</v>
      </c>
      <c r="C80" s="337"/>
      <c r="D80" s="337"/>
      <c r="E80" s="46">
        <f>'Mat. Unif.-LOTE I'!I22</f>
        <v>2.06</v>
      </c>
    </row>
    <row r="81" spans="1:5" x14ac:dyDescent="0.25">
      <c r="A81" s="56" t="s">
        <v>3</v>
      </c>
      <c r="B81" s="337" t="s">
        <v>175</v>
      </c>
      <c r="C81" s="337"/>
      <c r="D81" s="337"/>
      <c r="E81" s="46">
        <f>'Mat. Unif.-LOTE I'!I36</f>
        <v>78.989999999999995</v>
      </c>
    </row>
    <row r="82" spans="1:5" x14ac:dyDescent="0.25">
      <c r="A82" s="56" t="s">
        <v>5</v>
      </c>
      <c r="B82" s="337" t="s">
        <v>207</v>
      </c>
      <c r="C82" s="337"/>
      <c r="D82" s="337"/>
      <c r="E82" s="46">
        <v>33.869999999999997</v>
      </c>
    </row>
    <row r="83" spans="1:5" x14ac:dyDescent="0.25">
      <c r="A83" s="335" t="s">
        <v>176</v>
      </c>
      <c r="B83" s="336"/>
      <c r="C83" s="336"/>
      <c r="D83" s="70" t="s">
        <v>123</v>
      </c>
      <c r="E83" s="54">
        <f>SUM(E79:E82)</f>
        <v>183.16</v>
      </c>
    </row>
    <row r="84" spans="1:5" x14ac:dyDescent="0.25">
      <c r="A84" s="344" t="s">
        <v>31</v>
      </c>
      <c r="B84" s="346"/>
      <c r="C84" s="346" t="s">
        <v>25</v>
      </c>
      <c r="D84" s="346"/>
      <c r="E84" s="46">
        <f ca="1">SUM(E21+E49+E57+E76+E83)</f>
        <v>5688.19</v>
      </c>
    </row>
    <row r="85" spans="1:5" ht="30.75" customHeight="1" x14ac:dyDescent="0.25">
      <c r="A85" s="347" t="s">
        <v>242</v>
      </c>
      <c r="B85" s="348"/>
      <c r="C85" s="348"/>
      <c r="D85" s="118"/>
      <c r="E85" s="54">
        <f ca="1">E84</f>
        <v>5688.19</v>
      </c>
    </row>
    <row r="86" spans="1:5" x14ac:dyDescent="0.25">
      <c r="A86" s="311" t="s">
        <v>177</v>
      </c>
      <c r="B86" s="312"/>
      <c r="C86" s="312"/>
      <c r="D86" s="312"/>
      <c r="E86" s="313"/>
    </row>
    <row r="87" spans="1:5" x14ac:dyDescent="0.25">
      <c r="A87" s="80">
        <v>6</v>
      </c>
      <c r="B87" s="314" t="s">
        <v>32</v>
      </c>
      <c r="C87" s="315"/>
      <c r="D87" s="315"/>
      <c r="E87" s="39" t="s">
        <v>8</v>
      </c>
    </row>
    <row r="88" spans="1:5" x14ac:dyDescent="0.25">
      <c r="A88" s="80" t="s">
        <v>0</v>
      </c>
      <c r="B88" s="149" t="s">
        <v>33</v>
      </c>
      <c r="C88" s="343">
        <v>0.06</v>
      </c>
      <c r="D88" s="343"/>
      <c r="E88" s="46">
        <f ca="1">+E85*C88</f>
        <v>341.29</v>
      </c>
    </row>
    <row r="89" spans="1:5" x14ac:dyDescent="0.25">
      <c r="A89" s="80" t="s">
        <v>2</v>
      </c>
      <c r="B89" s="149" t="s">
        <v>34</v>
      </c>
      <c r="C89" s="343">
        <v>6.7900000000000002E-2</v>
      </c>
      <c r="D89" s="343"/>
      <c r="E89" s="46">
        <f ca="1">C89*(+E85+E88)</f>
        <v>409.4</v>
      </c>
    </row>
    <row r="90" spans="1:5" ht="36" customHeight="1" x14ac:dyDescent="0.25">
      <c r="A90" s="344" t="s">
        <v>3</v>
      </c>
      <c r="B90" s="345" t="s">
        <v>44</v>
      </c>
      <c r="C90" s="345"/>
      <c r="D90" s="71">
        <f>+(100-8.65)/100</f>
        <v>0.91349999999999998</v>
      </c>
      <c r="E90" s="46">
        <f ca="1">+E85+E88+E89</f>
        <v>6438.88</v>
      </c>
    </row>
    <row r="91" spans="1:5" x14ac:dyDescent="0.25">
      <c r="A91" s="344"/>
      <c r="B91" s="148" t="s">
        <v>35</v>
      </c>
      <c r="C91" s="60"/>
      <c r="D91" s="60"/>
      <c r="E91" s="201">
        <f ca="1">+E90/D90</f>
        <v>7048.58</v>
      </c>
    </row>
    <row r="92" spans="1:5" x14ac:dyDescent="0.25">
      <c r="A92" s="344"/>
      <c r="B92" s="148" t="s">
        <v>36</v>
      </c>
      <c r="C92" s="148"/>
      <c r="D92" s="148"/>
      <c r="E92" s="46"/>
    </row>
    <row r="93" spans="1:5" x14ac:dyDescent="0.25">
      <c r="A93" s="344"/>
      <c r="B93" s="53" t="s">
        <v>208</v>
      </c>
      <c r="C93" s="61"/>
      <c r="D93" s="58">
        <v>6.4999999999999997E-3</v>
      </c>
      <c r="E93" s="46">
        <f ca="1">+E91*D93</f>
        <v>45.82</v>
      </c>
    </row>
    <row r="94" spans="1:5" x14ac:dyDescent="0.25">
      <c r="A94" s="344"/>
      <c r="B94" s="53" t="s">
        <v>209</v>
      </c>
      <c r="C94" s="61"/>
      <c r="D94" s="58">
        <v>0.03</v>
      </c>
      <c r="E94" s="46">
        <f ca="1">+E91*D94</f>
        <v>211.46</v>
      </c>
    </row>
    <row r="95" spans="1:5" x14ac:dyDescent="0.25">
      <c r="A95" s="344"/>
      <c r="B95" s="120" t="s">
        <v>37</v>
      </c>
      <c r="C95" s="73"/>
      <c r="D95" s="60"/>
      <c r="E95" s="46"/>
    </row>
    <row r="96" spans="1:5" x14ac:dyDescent="0.25">
      <c r="A96" s="344"/>
      <c r="B96" s="120" t="s">
        <v>38</v>
      </c>
      <c r="C96" s="73"/>
      <c r="D96" s="73"/>
      <c r="E96" s="46"/>
    </row>
    <row r="97" spans="1:5" x14ac:dyDescent="0.25">
      <c r="A97" s="344"/>
      <c r="B97" s="53" t="s">
        <v>247</v>
      </c>
      <c r="C97" s="61"/>
      <c r="D97" s="58">
        <v>0.05</v>
      </c>
      <c r="E97" s="46">
        <f ca="1">+E91*D97</f>
        <v>352.43</v>
      </c>
    </row>
    <row r="98" spans="1:5" x14ac:dyDescent="0.25">
      <c r="A98" s="80"/>
      <c r="B98" s="60" t="s">
        <v>39</v>
      </c>
      <c r="C98" s="60"/>
      <c r="D98" s="121">
        <f>SUM(D93:D97)</f>
        <v>8.6499999999999994E-2</v>
      </c>
      <c r="E98" s="46">
        <f ca="1">SUM(E93:E97)</f>
        <v>609.71</v>
      </c>
    </row>
    <row r="99" spans="1:5" x14ac:dyDescent="0.25">
      <c r="A99" s="335" t="s">
        <v>40</v>
      </c>
      <c r="B99" s="336"/>
      <c r="C99" s="336"/>
      <c r="D99" s="336"/>
      <c r="E99" s="54">
        <f ca="1">+E88+E89+E98</f>
        <v>1360.4</v>
      </c>
    </row>
    <row r="100" spans="1:5" x14ac:dyDescent="0.25">
      <c r="A100" s="344" t="s">
        <v>41</v>
      </c>
      <c r="B100" s="346"/>
      <c r="C100" s="346"/>
      <c r="D100" s="346"/>
      <c r="E100" s="39" t="s">
        <v>8</v>
      </c>
    </row>
    <row r="101" spans="1:5" x14ac:dyDescent="0.25">
      <c r="A101" s="80" t="s">
        <v>0</v>
      </c>
      <c r="B101" s="314" t="s">
        <v>42</v>
      </c>
      <c r="C101" s="314"/>
      <c r="D101" s="314"/>
      <c r="E101" s="46">
        <f>+E21</f>
        <v>2204.06</v>
      </c>
    </row>
    <row r="102" spans="1:5" x14ac:dyDescent="0.25">
      <c r="A102" s="80" t="s">
        <v>2</v>
      </c>
      <c r="B102" s="314" t="s">
        <v>178</v>
      </c>
      <c r="C102" s="314"/>
      <c r="D102" s="314"/>
      <c r="E102" s="46">
        <f>E49</f>
        <v>2223.5500000000002</v>
      </c>
    </row>
    <row r="103" spans="1:5" x14ac:dyDescent="0.25">
      <c r="A103" s="80" t="s">
        <v>3</v>
      </c>
      <c r="B103" s="314" t="s">
        <v>179</v>
      </c>
      <c r="C103" s="314"/>
      <c r="D103" s="314"/>
      <c r="E103" s="46">
        <f>E57</f>
        <v>158.91</v>
      </c>
    </row>
    <row r="104" spans="1:5" x14ac:dyDescent="0.25">
      <c r="A104" s="80" t="s">
        <v>5</v>
      </c>
      <c r="B104" s="314" t="s">
        <v>180</v>
      </c>
      <c r="C104" s="314"/>
      <c r="D104" s="314"/>
      <c r="E104" s="46">
        <f ca="1">E76</f>
        <v>918.51</v>
      </c>
    </row>
    <row r="105" spans="1:5" x14ac:dyDescent="0.25">
      <c r="A105" s="80" t="s">
        <v>17</v>
      </c>
      <c r="B105" s="314" t="s">
        <v>181</v>
      </c>
      <c r="C105" s="314"/>
      <c r="D105" s="314"/>
      <c r="E105" s="46">
        <f>E83</f>
        <v>183.16</v>
      </c>
    </row>
    <row r="106" spans="1:5" x14ac:dyDescent="0.25">
      <c r="A106" s="349" t="s">
        <v>365</v>
      </c>
      <c r="B106" s="350"/>
      <c r="C106" s="350"/>
      <c r="D106" s="67"/>
      <c r="E106" s="46">
        <f ca="1">SUM(E101:E105)</f>
        <v>5688.19</v>
      </c>
    </row>
    <row r="107" spans="1:5" x14ac:dyDescent="0.25">
      <c r="A107" s="80" t="s">
        <v>18</v>
      </c>
      <c r="B107" s="314" t="s">
        <v>243</v>
      </c>
      <c r="C107" s="314"/>
      <c r="D107" s="314"/>
      <c r="E107" s="46">
        <f ca="1">+E99</f>
        <v>1360.4</v>
      </c>
    </row>
    <row r="108" spans="1:5" x14ac:dyDescent="0.25">
      <c r="A108" s="347" t="s">
        <v>43</v>
      </c>
      <c r="B108" s="348"/>
      <c r="C108" s="348"/>
      <c r="D108" s="348"/>
      <c r="E108" s="54">
        <f ca="1">+E106+E107</f>
        <v>7048.59</v>
      </c>
    </row>
    <row r="109" spans="1:5" x14ac:dyDescent="0.25">
      <c r="A109" s="351" t="s">
        <v>251</v>
      </c>
      <c r="B109" s="352"/>
      <c r="C109" s="352"/>
      <c r="D109" s="352"/>
      <c r="E109" s="202">
        <f ca="1">E108*2</f>
        <v>14097.18</v>
      </c>
    </row>
    <row r="110" spans="1:5" ht="17.25" customHeight="1" thickBot="1" x14ac:dyDescent="0.3">
      <c r="A110" s="353"/>
      <c r="B110" s="354"/>
      <c r="C110" s="354"/>
      <c r="D110" s="354"/>
      <c r="E110" s="355"/>
    </row>
    <row r="114" spans="5:5" x14ac:dyDescent="0.25">
      <c r="E114" s="126"/>
    </row>
    <row r="115" spans="5:5" x14ac:dyDescent="0.25">
      <c r="E115" s="126"/>
    </row>
  </sheetData>
  <mergeCells count="102">
    <mergeCell ref="B33:C33"/>
    <mergeCell ref="B34:C34"/>
    <mergeCell ref="A1:E1"/>
    <mergeCell ref="A2:E2"/>
    <mergeCell ref="C3:E3"/>
    <mergeCell ref="C4:E4"/>
    <mergeCell ref="C5:E5"/>
    <mergeCell ref="B15:D15"/>
    <mergeCell ref="C16:D16"/>
    <mergeCell ref="A7:E7"/>
    <mergeCell ref="A8:E8"/>
    <mergeCell ref="A9:E9"/>
    <mergeCell ref="C10:E10"/>
    <mergeCell ref="C6:E6"/>
    <mergeCell ref="B11:D11"/>
    <mergeCell ref="B13:D13"/>
    <mergeCell ref="C18:D18"/>
    <mergeCell ref="B19:D19"/>
    <mergeCell ref="C12:E12"/>
    <mergeCell ref="A21:D21"/>
    <mergeCell ref="B23:D23"/>
    <mergeCell ref="A26:C26"/>
    <mergeCell ref="B65:C65"/>
    <mergeCell ref="B74:C74"/>
    <mergeCell ref="B75:C75"/>
    <mergeCell ref="A83:C83"/>
    <mergeCell ref="A84:B84"/>
    <mergeCell ref="C84:D84"/>
    <mergeCell ref="A77:E77"/>
    <mergeCell ref="B79:D79"/>
    <mergeCell ref="B80:D80"/>
    <mergeCell ref="B81:D81"/>
    <mergeCell ref="B82:D82"/>
    <mergeCell ref="A72:D72"/>
    <mergeCell ref="A66:C66"/>
    <mergeCell ref="A67:D67"/>
    <mergeCell ref="B68:D68"/>
    <mergeCell ref="A71:C71"/>
    <mergeCell ref="B70:C70"/>
    <mergeCell ref="B69:D69"/>
    <mergeCell ref="A110:E110"/>
    <mergeCell ref="A99:D99"/>
    <mergeCell ref="A100:D100"/>
    <mergeCell ref="B101:D101"/>
    <mergeCell ref="B102:D102"/>
    <mergeCell ref="B103:D103"/>
    <mergeCell ref="B104:D104"/>
    <mergeCell ref="B105:D105"/>
    <mergeCell ref="A106:C106"/>
    <mergeCell ref="B107:D107"/>
    <mergeCell ref="A108:D108"/>
    <mergeCell ref="A109:D109"/>
    <mergeCell ref="A90:A97"/>
    <mergeCell ref="B90:C90"/>
    <mergeCell ref="B73:D73"/>
    <mergeCell ref="A76:C76"/>
    <mergeCell ref="B78:D78"/>
    <mergeCell ref="A85:C85"/>
    <mergeCell ref="B87:D87"/>
    <mergeCell ref="C88:D88"/>
    <mergeCell ref="C89:D89"/>
    <mergeCell ref="A86:E86"/>
    <mergeCell ref="B39:C39"/>
    <mergeCell ref="B40:C40"/>
    <mergeCell ref="B41:C41"/>
    <mergeCell ref="B42:C42"/>
    <mergeCell ref="B43:C43"/>
    <mergeCell ref="B60:C60"/>
    <mergeCell ref="B61:C61"/>
    <mergeCell ref="B35:C35"/>
    <mergeCell ref="B36:C36"/>
    <mergeCell ref="B47:D47"/>
    <mergeCell ref="B46:D46"/>
    <mergeCell ref="A49:C49"/>
    <mergeCell ref="B51:D51"/>
    <mergeCell ref="A57:C57"/>
    <mergeCell ref="B59:D59"/>
    <mergeCell ref="A45:D45"/>
    <mergeCell ref="B62:C62"/>
    <mergeCell ref="B63:C63"/>
    <mergeCell ref="B64:C64"/>
    <mergeCell ref="B56:C56"/>
    <mergeCell ref="A14:E14"/>
    <mergeCell ref="A22:E22"/>
    <mergeCell ref="A50:E50"/>
    <mergeCell ref="A58:E58"/>
    <mergeCell ref="B48:D48"/>
    <mergeCell ref="B52:C52"/>
    <mergeCell ref="B53:C53"/>
    <mergeCell ref="B54:C54"/>
    <mergeCell ref="A27:E27"/>
    <mergeCell ref="B28:D28"/>
    <mergeCell ref="A37:C37"/>
    <mergeCell ref="B38:D38"/>
    <mergeCell ref="A44:D44"/>
    <mergeCell ref="B24:C24"/>
    <mergeCell ref="B25:C25"/>
    <mergeCell ref="B29:C29"/>
    <mergeCell ref="B30:C30"/>
    <mergeCell ref="B31:C31"/>
    <mergeCell ref="B32:C32"/>
    <mergeCell ref="B55:C55"/>
  </mergeCells>
  <hyperlinks>
    <hyperlink ref="B36" r:id="rId1" display="08 - Sebrae 0,3% ou 0,6% - IN nº 03, MPS/SRP/2005, Anexo II e III ver código da Tabela"/>
  </hyperlinks>
  <pageMargins left="0.51181102362204722" right="0.51181102362204722" top="0.78740157480314965" bottom="0.78740157480314965" header="0.31496062992125984" footer="0.31496062992125984"/>
  <pageSetup paperSize="9" scale="69" orientation="portrait" r:id="rId2"/>
  <rowBreaks count="1" manualBreakCount="1">
    <brk id="66" max="4" man="1"/>
  </rowBreaks>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39997558519241921"/>
  </sheetPr>
  <dimension ref="A1:J110"/>
  <sheetViews>
    <sheetView topLeftCell="A64" zoomScale="120" zoomScaleNormal="120" workbookViewId="0">
      <selection activeCell="B69" sqref="B69:D69"/>
    </sheetView>
  </sheetViews>
  <sheetFormatPr defaultRowHeight="15" x14ac:dyDescent="0.25"/>
  <cols>
    <col min="1" max="1" width="11.140625" customWidth="1"/>
    <col min="2" max="2" width="43.5703125" customWidth="1"/>
    <col min="3" max="3" width="30.42578125" customWidth="1"/>
    <col min="4" max="4" width="22.140625" customWidth="1"/>
    <col min="5" max="5" width="24.42578125" customWidth="1"/>
    <col min="7" max="7" width="13" customWidth="1"/>
    <col min="8" max="8" width="16.42578125" customWidth="1"/>
    <col min="9" max="9" width="14.28515625" customWidth="1"/>
    <col min="10" max="10" width="16.140625" customWidth="1"/>
  </cols>
  <sheetData>
    <row r="1" spans="1:8" ht="21" x14ac:dyDescent="0.25">
      <c r="A1" s="300" t="s">
        <v>246</v>
      </c>
      <c r="B1" s="301"/>
      <c r="C1" s="301"/>
      <c r="D1" s="301"/>
      <c r="E1" s="302"/>
    </row>
    <row r="2" spans="1:8" x14ac:dyDescent="0.25">
      <c r="A2" s="303" t="s">
        <v>182</v>
      </c>
      <c r="B2" s="304"/>
      <c r="C2" s="304"/>
      <c r="D2" s="304"/>
      <c r="E2" s="305"/>
    </row>
    <row r="3" spans="1:8" x14ac:dyDescent="0.25">
      <c r="A3" s="37" t="s">
        <v>0</v>
      </c>
      <c r="B3" s="103" t="s">
        <v>1</v>
      </c>
      <c r="C3" s="306" t="s">
        <v>366</v>
      </c>
      <c r="D3" s="306"/>
      <c r="E3" s="307"/>
    </row>
    <row r="4" spans="1:8" x14ac:dyDescent="0.25">
      <c r="A4" s="37" t="s">
        <v>2</v>
      </c>
      <c r="B4" s="103" t="s">
        <v>125</v>
      </c>
      <c r="C4" s="308" t="s">
        <v>182</v>
      </c>
      <c r="D4" s="308"/>
      <c r="E4" s="309"/>
    </row>
    <row r="5" spans="1:8" ht="25.5" x14ac:dyDescent="0.25">
      <c r="A5" s="37" t="s">
        <v>3</v>
      </c>
      <c r="B5" s="103" t="s">
        <v>4</v>
      </c>
      <c r="C5" s="308" t="s">
        <v>340</v>
      </c>
      <c r="D5" s="308"/>
      <c r="E5" s="309"/>
    </row>
    <row r="6" spans="1:8" x14ac:dyDescent="0.25">
      <c r="A6" s="37" t="s">
        <v>5</v>
      </c>
      <c r="B6" s="103" t="s">
        <v>133</v>
      </c>
      <c r="C6" s="308">
        <v>12</v>
      </c>
      <c r="D6" s="308"/>
      <c r="E6" s="309"/>
    </row>
    <row r="7" spans="1:8" x14ac:dyDescent="0.25">
      <c r="A7" s="358" t="s">
        <v>6</v>
      </c>
      <c r="B7" s="327"/>
      <c r="C7" s="327"/>
      <c r="D7" s="327"/>
      <c r="E7" s="328"/>
    </row>
    <row r="8" spans="1:8" x14ac:dyDescent="0.25">
      <c r="A8" s="324" t="s">
        <v>7</v>
      </c>
      <c r="B8" s="325"/>
      <c r="C8" s="325"/>
      <c r="D8" s="325"/>
      <c r="E8" s="326"/>
    </row>
    <row r="9" spans="1:8" x14ac:dyDescent="0.25">
      <c r="A9" s="324" t="s">
        <v>235</v>
      </c>
      <c r="B9" s="327"/>
      <c r="C9" s="327"/>
      <c r="D9" s="327"/>
      <c r="E9" s="328"/>
    </row>
    <row r="10" spans="1:8" ht="25.5" x14ac:dyDescent="0.25">
      <c r="A10" s="37">
        <v>1</v>
      </c>
      <c r="B10" s="40" t="s">
        <v>124</v>
      </c>
      <c r="C10" s="329" t="s">
        <v>376</v>
      </c>
      <c r="D10" s="329"/>
      <c r="E10" s="330"/>
    </row>
    <row r="11" spans="1:8" x14ac:dyDescent="0.25">
      <c r="A11" s="37">
        <v>2</v>
      </c>
      <c r="B11" s="331" t="s">
        <v>9</v>
      </c>
      <c r="C11" s="331"/>
      <c r="D11" s="331"/>
      <c r="E11" s="198">
        <v>1695.43</v>
      </c>
    </row>
    <row r="12" spans="1:8" ht="25.5" x14ac:dyDescent="0.25">
      <c r="A12" s="37">
        <v>3</v>
      </c>
      <c r="B12" s="40" t="s">
        <v>10</v>
      </c>
      <c r="C12" s="329" t="s">
        <v>377</v>
      </c>
      <c r="D12" s="329"/>
      <c r="E12" s="330"/>
    </row>
    <row r="13" spans="1:8" x14ac:dyDescent="0.25">
      <c r="A13" s="37">
        <v>4</v>
      </c>
      <c r="B13" s="310" t="s">
        <v>11</v>
      </c>
      <c r="C13" s="310"/>
      <c r="D13" s="310"/>
      <c r="E13" s="221" t="s">
        <v>341</v>
      </c>
    </row>
    <row r="14" spans="1:8" x14ac:dyDescent="0.25">
      <c r="A14" s="311" t="s">
        <v>12</v>
      </c>
      <c r="B14" s="312"/>
      <c r="C14" s="312"/>
      <c r="D14" s="312"/>
      <c r="E14" s="313"/>
    </row>
    <row r="15" spans="1:8" x14ac:dyDescent="0.25">
      <c r="A15" s="80">
        <v>1</v>
      </c>
      <c r="B15" s="314" t="s">
        <v>13</v>
      </c>
      <c r="C15" s="315"/>
      <c r="D15" s="315"/>
      <c r="E15" s="39" t="s">
        <v>8</v>
      </c>
      <c r="H15" s="125"/>
    </row>
    <row r="16" spans="1:8" x14ac:dyDescent="0.25">
      <c r="A16" s="48" t="s">
        <v>0</v>
      </c>
      <c r="B16" s="49" t="s">
        <v>14</v>
      </c>
      <c r="C16" s="316"/>
      <c r="D16" s="362"/>
      <c r="E16" s="50">
        <f>+E11</f>
        <v>1695.43</v>
      </c>
      <c r="H16" s="125"/>
    </row>
    <row r="17" spans="1:10" x14ac:dyDescent="0.25">
      <c r="A17" s="48" t="s">
        <v>2</v>
      </c>
      <c r="B17" s="52" t="s">
        <v>204</v>
      </c>
      <c r="C17" s="150">
        <v>0</v>
      </c>
      <c r="D17" s="123">
        <v>1412</v>
      </c>
      <c r="E17" s="199">
        <f>D17*C17</f>
        <v>0</v>
      </c>
    </row>
    <row r="18" spans="1:10" ht="17.25" customHeight="1" x14ac:dyDescent="0.25">
      <c r="A18" s="48" t="s">
        <v>3</v>
      </c>
      <c r="B18" s="49" t="s">
        <v>255</v>
      </c>
      <c r="C18" s="151" t="s">
        <v>254</v>
      </c>
      <c r="D18" s="124">
        <v>15.21</v>
      </c>
      <c r="E18" s="199">
        <f>(1.93*8)*15.21</f>
        <v>234.84</v>
      </c>
      <c r="J18">
        <v>1575.39</v>
      </c>
    </row>
    <row r="19" spans="1:10" ht="14.25" customHeight="1" x14ac:dyDescent="0.25">
      <c r="A19" s="48" t="s">
        <v>123</v>
      </c>
      <c r="B19" s="319" t="s">
        <v>210</v>
      </c>
      <c r="C19" s="320"/>
      <c r="D19" s="363"/>
      <c r="E19" s="51">
        <f>SUM(E16:E18)</f>
        <v>1930.27</v>
      </c>
    </row>
    <row r="20" spans="1:10" ht="19.5" customHeight="1" x14ac:dyDescent="0.25">
      <c r="A20" s="48" t="s">
        <v>5</v>
      </c>
      <c r="B20" s="49" t="s">
        <v>15</v>
      </c>
      <c r="C20" s="110">
        <v>0.3</v>
      </c>
      <c r="D20" s="111">
        <f>E19</f>
        <v>1930.27</v>
      </c>
      <c r="E20" s="199">
        <f>E19*C20</f>
        <v>579.08000000000004</v>
      </c>
      <c r="J20">
        <f>J18*40</f>
        <v>63015.6</v>
      </c>
    </row>
    <row r="21" spans="1:10" x14ac:dyDescent="0.25">
      <c r="A21" s="335" t="s">
        <v>20</v>
      </c>
      <c r="B21" s="336"/>
      <c r="C21" s="336"/>
      <c r="D21" s="336"/>
      <c r="E21" s="54">
        <f>SUM(E19:E20)</f>
        <v>2509.35</v>
      </c>
      <c r="J21">
        <f>J20*0.0095%</f>
        <v>5.9864819999999996</v>
      </c>
    </row>
    <row r="22" spans="1:10" x14ac:dyDescent="0.25">
      <c r="A22" s="311" t="s">
        <v>45</v>
      </c>
      <c r="B22" s="312"/>
      <c r="C22" s="312"/>
      <c r="D22" s="312"/>
      <c r="E22" s="313"/>
    </row>
    <row r="23" spans="1:10" x14ac:dyDescent="0.25">
      <c r="A23" s="80" t="s">
        <v>134</v>
      </c>
      <c r="B23" s="314" t="s">
        <v>135</v>
      </c>
      <c r="C23" s="315"/>
      <c r="D23" s="315"/>
      <c r="E23" s="39" t="s">
        <v>8</v>
      </c>
    </row>
    <row r="24" spans="1:10" x14ac:dyDescent="0.25">
      <c r="A24" s="56" t="s">
        <v>0</v>
      </c>
      <c r="B24" s="337" t="s">
        <v>27</v>
      </c>
      <c r="C24" s="337"/>
      <c r="D24" s="58">
        <f>1/12</f>
        <v>8.3299999999999999E-2</v>
      </c>
      <c r="E24" s="46">
        <f>ROUND(+$E$21*D24,2)</f>
        <v>209.03</v>
      </c>
      <c r="J24">
        <v>5.99</v>
      </c>
    </row>
    <row r="25" spans="1:10" x14ac:dyDescent="0.25">
      <c r="A25" s="56" t="s">
        <v>2</v>
      </c>
      <c r="B25" s="337" t="s">
        <v>136</v>
      </c>
      <c r="C25" s="337"/>
      <c r="D25" s="58">
        <v>0.1111</v>
      </c>
      <c r="E25" s="46">
        <f>ROUND(+$E$21*D25,2)</f>
        <v>278.79000000000002</v>
      </c>
      <c r="J25">
        <v>5.99</v>
      </c>
    </row>
    <row r="26" spans="1:10" x14ac:dyDescent="0.25">
      <c r="A26" s="335" t="s">
        <v>25</v>
      </c>
      <c r="B26" s="336"/>
      <c r="C26" s="338"/>
      <c r="D26" s="59">
        <f>SUM(D24:D25)</f>
        <v>0.19439999999999999</v>
      </c>
      <c r="E26" s="54">
        <f>SUM(E24:E25)</f>
        <v>487.82</v>
      </c>
      <c r="J26">
        <v>0.28999999999999998</v>
      </c>
    </row>
    <row r="27" spans="1:10" ht="29.25" customHeight="1" x14ac:dyDescent="0.25">
      <c r="A27" s="332" t="s">
        <v>137</v>
      </c>
      <c r="B27" s="333"/>
      <c r="C27" s="333"/>
      <c r="D27" s="333"/>
      <c r="E27" s="334"/>
      <c r="J27">
        <f>SUM(J24:J26)</f>
        <v>12.27</v>
      </c>
    </row>
    <row r="28" spans="1:10" x14ac:dyDescent="0.25">
      <c r="A28" s="80" t="s">
        <v>138</v>
      </c>
      <c r="B28" s="314" t="s">
        <v>23</v>
      </c>
      <c r="C28" s="315"/>
      <c r="D28" s="315"/>
      <c r="E28" s="39" t="s">
        <v>8</v>
      </c>
    </row>
    <row r="29" spans="1:10" x14ac:dyDescent="0.25">
      <c r="A29" s="56" t="s">
        <v>0</v>
      </c>
      <c r="B29" s="310" t="s">
        <v>139</v>
      </c>
      <c r="C29" s="310"/>
      <c r="D29" s="58">
        <v>0.2</v>
      </c>
      <c r="E29" s="46">
        <f>(E21+E26)*D29</f>
        <v>599.42999999999995</v>
      </c>
    </row>
    <row r="30" spans="1:10" x14ac:dyDescent="0.25">
      <c r="A30" s="56" t="s">
        <v>2</v>
      </c>
      <c r="B30" s="310" t="s">
        <v>140</v>
      </c>
      <c r="C30" s="310"/>
      <c r="D30" s="58">
        <v>1.4999999999999999E-2</v>
      </c>
      <c r="E30" s="46">
        <f>(E21+E26)*D30</f>
        <v>44.96</v>
      </c>
    </row>
    <row r="31" spans="1:10" x14ac:dyDescent="0.25">
      <c r="A31" s="56" t="s">
        <v>3</v>
      </c>
      <c r="B31" s="310" t="s">
        <v>240</v>
      </c>
      <c r="C31" s="310"/>
      <c r="D31" s="58">
        <v>0.01</v>
      </c>
      <c r="E31" s="46">
        <f>(E21+E26)*D31</f>
        <v>29.97</v>
      </c>
      <c r="J31" s="224"/>
    </row>
    <row r="32" spans="1:10" x14ac:dyDescent="0.25">
      <c r="A32" s="56" t="s">
        <v>5</v>
      </c>
      <c r="B32" s="310" t="s">
        <v>142</v>
      </c>
      <c r="C32" s="310"/>
      <c r="D32" s="58">
        <v>2E-3</v>
      </c>
      <c r="E32" s="46">
        <f>(E21+E26)*D32</f>
        <v>5.99</v>
      </c>
      <c r="I32" s="125"/>
      <c r="J32" s="224"/>
    </row>
    <row r="33" spans="1:10" x14ac:dyDescent="0.25">
      <c r="A33" s="56" t="s">
        <v>17</v>
      </c>
      <c r="B33" s="310" t="s">
        <v>241</v>
      </c>
      <c r="C33" s="310"/>
      <c r="D33" s="58">
        <v>2.5000000000000001E-2</v>
      </c>
      <c r="E33" s="46">
        <f>(E21+E26)*D33</f>
        <v>74.930000000000007</v>
      </c>
      <c r="I33" s="125"/>
      <c r="J33" s="224"/>
    </row>
    <row r="34" spans="1:10" x14ac:dyDescent="0.25">
      <c r="A34" s="56" t="s">
        <v>18</v>
      </c>
      <c r="B34" s="310" t="s">
        <v>144</v>
      </c>
      <c r="C34" s="310"/>
      <c r="D34" s="58">
        <v>0.08</v>
      </c>
      <c r="E34" s="46">
        <f>(E21+E26)*D34</f>
        <v>239.77</v>
      </c>
      <c r="I34" s="125"/>
      <c r="J34" s="224"/>
    </row>
    <row r="35" spans="1:10" x14ac:dyDescent="0.25">
      <c r="A35" s="56" t="s">
        <v>19</v>
      </c>
      <c r="B35" s="310" t="s">
        <v>145</v>
      </c>
      <c r="C35" s="310"/>
      <c r="D35" s="58">
        <v>0.06</v>
      </c>
      <c r="E35" s="46">
        <f>(E21+E26)*D35</f>
        <v>179.83</v>
      </c>
      <c r="I35" s="125"/>
    </row>
    <row r="36" spans="1:10" x14ac:dyDescent="0.25">
      <c r="A36" s="63" t="s">
        <v>24</v>
      </c>
      <c r="B36" s="339" t="s">
        <v>146</v>
      </c>
      <c r="C36" s="339"/>
      <c r="D36" s="66">
        <v>6.0000000000000001E-3</v>
      </c>
      <c r="E36" s="55">
        <f>(E21+E26)*D36</f>
        <v>17.98</v>
      </c>
      <c r="J36" s="125"/>
    </row>
    <row r="37" spans="1:10" x14ac:dyDescent="0.25">
      <c r="A37" s="335" t="s">
        <v>25</v>
      </c>
      <c r="B37" s="336"/>
      <c r="C37" s="338"/>
      <c r="D37" s="59">
        <f>SUM(D29:D36)</f>
        <v>0.39800000000000002</v>
      </c>
      <c r="E37" s="54">
        <f>SUM(E29:E36)</f>
        <v>1192.8599999999999</v>
      </c>
      <c r="I37" s="125"/>
    </row>
    <row r="38" spans="1:10" x14ac:dyDescent="0.25">
      <c r="A38" s="80" t="s">
        <v>147</v>
      </c>
      <c r="B38" s="314" t="s">
        <v>148</v>
      </c>
      <c r="C38" s="315"/>
      <c r="D38" s="315"/>
      <c r="E38" s="39" t="s">
        <v>8</v>
      </c>
      <c r="I38" s="126"/>
    </row>
    <row r="39" spans="1:10" ht="15" customHeight="1" x14ac:dyDescent="0.25">
      <c r="A39" s="56" t="s">
        <v>0</v>
      </c>
      <c r="B39" s="337" t="s">
        <v>342</v>
      </c>
      <c r="C39" s="337"/>
      <c r="D39" s="98">
        <v>6</v>
      </c>
      <c r="E39" s="200">
        <f>(D39*30.42)-(E16*0.06)</f>
        <v>80.790000000000006</v>
      </c>
      <c r="I39" s="126"/>
    </row>
    <row r="40" spans="1:10" ht="24" customHeight="1" x14ac:dyDescent="0.25">
      <c r="A40" s="56" t="s">
        <v>2</v>
      </c>
      <c r="B40" s="337" t="s">
        <v>343</v>
      </c>
      <c r="C40" s="337"/>
      <c r="D40" s="89">
        <v>41</v>
      </c>
      <c r="E40" s="50">
        <f>(D40*15.21)-(D40*15.21*1%)</f>
        <v>617.37</v>
      </c>
      <c r="G40" s="126"/>
      <c r="I40" s="126"/>
    </row>
    <row r="41" spans="1:10" ht="15" customHeight="1" x14ac:dyDescent="0.25">
      <c r="A41" s="56" t="s">
        <v>3</v>
      </c>
      <c r="B41" s="337" t="s">
        <v>344</v>
      </c>
      <c r="C41" s="337"/>
      <c r="D41" s="92"/>
      <c r="E41" s="50">
        <f>((E11*16%) -(E11*1%))/12</f>
        <v>21.19</v>
      </c>
      <c r="G41" s="127"/>
    </row>
    <row r="42" spans="1:10" ht="15" customHeight="1" x14ac:dyDescent="0.25">
      <c r="A42" s="56" t="s">
        <v>5</v>
      </c>
      <c r="B42" s="337" t="s">
        <v>345</v>
      </c>
      <c r="C42" s="337"/>
      <c r="D42" s="85">
        <v>14.16</v>
      </c>
      <c r="E42" s="200">
        <f>D42</f>
        <v>14.16</v>
      </c>
      <c r="G42" s="126"/>
    </row>
    <row r="43" spans="1:10" ht="27" customHeight="1" x14ac:dyDescent="0.25">
      <c r="A43" s="56" t="s">
        <v>17</v>
      </c>
      <c r="B43" s="337" t="s">
        <v>348</v>
      </c>
      <c r="C43" s="337"/>
      <c r="D43" s="85"/>
      <c r="E43" s="200">
        <f>(((E16+E20)*26+((E16)*5))/1000*0.21)</f>
        <v>14.2</v>
      </c>
      <c r="F43" t="s">
        <v>347</v>
      </c>
    </row>
    <row r="44" spans="1:10" ht="15.6" customHeight="1" x14ac:dyDescent="0.25">
      <c r="A44" s="335" t="s">
        <v>21</v>
      </c>
      <c r="B44" s="336"/>
      <c r="C44" s="336"/>
      <c r="D44" s="336"/>
      <c r="E44" s="54">
        <f>SUM(E39:E43)</f>
        <v>747.71</v>
      </c>
      <c r="I44">
        <v>0.21</v>
      </c>
    </row>
    <row r="45" spans="1:10" x14ac:dyDescent="0.25">
      <c r="A45" s="311" t="s">
        <v>150</v>
      </c>
      <c r="B45" s="312"/>
      <c r="C45" s="312"/>
      <c r="D45" s="312"/>
      <c r="E45" s="46"/>
    </row>
    <row r="46" spans="1:10" x14ac:dyDescent="0.25">
      <c r="A46" s="80" t="s">
        <v>134</v>
      </c>
      <c r="B46" s="314" t="s">
        <v>151</v>
      </c>
      <c r="C46" s="315"/>
      <c r="D46" s="315"/>
      <c r="E46" s="47">
        <f>E26</f>
        <v>487.82</v>
      </c>
    </row>
    <row r="47" spans="1:10" x14ac:dyDescent="0.25">
      <c r="A47" s="80" t="s">
        <v>138</v>
      </c>
      <c r="B47" s="337" t="s">
        <v>152</v>
      </c>
      <c r="C47" s="337"/>
      <c r="D47" s="337"/>
      <c r="E47" s="46">
        <f>E37</f>
        <v>1192.8599999999999</v>
      </c>
    </row>
    <row r="48" spans="1:10" x14ac:dyDescent="0.25">
      <c r="A48" s="80" t="s">
        <v>147</v>
      </c>
      <c r="B48" s="337" t="s">
        <v>153</v>
      </c>
      <c r="C48" s="337"/>
      <c r="D48" s="337"/>
      <c r="E48" s="46">
        <f>E44</f>
        <v>747.71</v>
      </c>
    </row>
    <row r="49" spans="1:6" x14ac:dyDescent="0.25">
      <c r="A49" s="335" t="s">
        <v>25</v>
      </c>
      <c r="B49" s="336"/>
      <c r="C49" s="338"/>
      <c r="D49" s="68" t="s">
        <v>123</v>
      </c>
      <c r="E49" s="54">
        <f>SUM(E46:E48)</f>
        <v>2428.39</v>
      </c>
    </row>
    <row r="50" spans="1:6" x14ac:dyDescent="0.25">
      <c r="A50" s="311" t="s">
        <v>154</v>
      </c>
      <c r="B50" s="312"/>
      <c r="C50" s="312"/>
      <c r="D50" s="312"/>
      <c r="E50" s="313"/>
    </row>
    <row r="51" spans="1:6" x14ac:dyDescent="0.25">
      <c r="A51" s="80" t="s">
        <v>155</v>
      </c>
      <c r="B51" s="314" t="s">
        <v>28</v>
      </c>
      <c r="C51" s="315"/>
      <c r="D51" s="315"/>
      <c r="E51" s="39" t="s">
        <v>8</v>
      </c>
    </row>
    <row r="52" spans="1:6" x14ac:dyDescent="0.25">
      <c r="A52" s="56" t="s">
        <v>0</v>
      </c>
      <c r="B52" s="337" t="s">
        <v>156</v>
      </c>
      <c r="C52" s="337"/>
      <c r="D52" s="58">
        <v>4.5999999999999999E-3</v>
      </c>
      <c r="E52" s="46">
        <f t="shared" ref="E52:E55" si="0">ROUND(+D52*$E$21,2)</f>
        <v>11.54</v>
      </c>
    </row>
    <row r="53" spans="1:6" x14ac:dyDescent="0.25">
      <c r="A53" s="56" t="s">
        <v>2</v>
      </c>
      <c r="B53" s="337" t="s">
        <v>157</v>
      </c>
      <c r="C53" s="337"/>
      <c r="D53" s="58">
        <f>D34*D52</f>
        <v>4.0000000000000002E-4</v>
      </c>
      <c r="E53" s="46">
        <f t="shared" si="0"/>
        <v>1</v>
      </c>
    </row>
    <row r="54" spans="1:6" x14ac:dyDescent="0.25">
      <c r="A54" s="56" t="s">
        <v>3</v>
      </c>
      <c r="B54" s="310" t="s">
        <v>29</v>
      </c>
      <c r="C54" s="310"/>
      <c r="D54" s="58">
        <v>1.9400000000000001E-2</v>
      </c>
      <c r="E54" s="46">
        <f t="shared" si="0"/>
        <v>48.68</v>
      </c>
    </row>
    <row r="55" spans="1:6" x14ac:dyDescent="0.25">
      <c r="A55" s="56" t="s">
        <v>5</v>
      </c>
      <c r="B55" s="337" t="s">
        <v>158</v>
      </c>
      <c r="C55" s="337"/>
      <c r="D55" s="58">
        <f>D37*D54</f>
        <v>7.7000000000000002E-3</v>
      </c>
      <c r="E55" s="46">
        <f t="shared" si="0"/>
        <v>19.32</v>
      </c>
    </row>
    <row r="56" spans="1:6" ht="33" customHeight="1" x14ac:dyDescent="0.25">
      <c r="A56" s="56" t="s">
        <v>17</v>
      </c>
      <c r="B56" s="337" t="s">
        <v>211</v>
      </c>
      <c r="C56" s="337"/>
      <c r="D56" s="58">
        <f>4%</f>
        <v>0.04</v>
      </c>
      <c r="E56" s="46">
        <f>ROUND(+D56*$E$21,2)</f>
        <v>100.37</v>
      </c>
    </row>
    <row r="57" spans="1:6" x14ac:dyDescent="0.25">
      <c r="A57" s="335" t="s">
        <v>25</v>
      </c>
      <c r="B57" s="336"/>
      <c r="C57" s="336"/>
      <c r="D57" s="70">
        <f>SUM(D52:D56)</f>
        <v>7.2099999999999997E-2</v>
      </c>
      <c r="E57" s="54">
        <f>SUM(E52:E56)</f>
        <v>180.91</v>
      </c>
    </row>
    <row r="58" spans="1:6" x14ac:dyDescent="0.25">
      <c r="A58" s="311" t="s">
        <v>159</v>
      </c>
      <c r="B58" s="312"/>
      <c r="C58" s="312"/>
      <c r="D58" s="312"/>
      <c r="E58" s="313"/>
    </row>
    <row r="59" spans="1:6" x14ac:dyDescent="0.25">
      <c r="A59" s="80" t="s">
        <v>22</v>
      </c>
      <c r="B59" s="312" t="s">
        <v>160</v>
      </c>
      <c r="C59" s="312"/>
      <c r="D59" s="312"/>
      <c r="E59" s="39" t="s">
        <v>8</v>
      </c>
    </row>
    <row r="60" spans="1:6" x14ac:dyDescent="0.25">
      <c r="A60" s="56" t="s">
        <v>0</v>
      </c>
      <c r="B60" s="337" t="s">
        <v>161</v>
      </c>
      <c r="C60" s="337"/>
      <c r="D60" s="58">
        <f>((1+1/3)/12)/12</f>
        <v>9.2999999999999992E-3</v>
      </c>
      <c r="E60" s="46">
        <f>(E21+E49+E57+E79)*D60</f>
        <v>48.24</v>
      </c>
    </row>
    <row r="61" spans="1:6" x14ac:dyDescent="0.25">
      <c r="A61" s="56" t="s">
        <v>2</v>
      </c>
      <c r="B61" s="337" t="s">
        <v>162</v>
      </c>
      <c r="C61" s="337"/>
      <c r="D61" s="58">
        <v>1.66E-2</v>
      </c>
      <c r="E61" s="46">
        <f>(E21+E49+E57+E79)*D61</f>
        <v>86.1</v>
      </c>
      <c r="F61" t="s">
        <v>222</v>
      </c>
    </row>
    <row r="62" spans="1:6" x14ac:dyDescent="0.25">
      <c r="A62" s="56" t="s">
        <v>3</v>
      </c>
      <c r="B62" s="337" t="s">
        <v>163</v>
      </c>
      <c r="C62" s="337"/>
      <c r="D62" s="58">
        <f>(5/30)*(1/12)*6.24%*95.04%</f>
        <v>8.0000000000000004E-4</v>
      </c>
      <c r="E62" s="46">
        <f>(E21+E49+E57+E79)*D62</f>
        <v>4.1500000000000004</v>
      </c>
      <c r="F62" t="s">
        <v>223</v>
      </c>
    </row>
    <row r="63" spans="1:6" x14ac:dyDescent="0.25">
      <c r="A63" s="56" t="s">
        <v>5</v>
      </c>
      <c r="B63" s="337" t="s">
        <v>164</v>
      </c>
      <c r="C63" s="337"/>
      <c r="D63" s="58">
        <f>(1/30)*(1/12)</f>
        <v>2.8E-3</v>
      </c>
      <c r="E63" s="46">
        <f>(E21+E49+E57+E79)*D63</f>
        <v>14.52</v>
      </c>
      <c r="F63" t="s">
        <v>224</v>
      </c>
    </row>
    <row r="64" spans="1:6" x14ac:dyDescent="0.25">
      <c r="A64" s="56" t="s">
        <v>17</v>
      </c>
      <c r="B64" s="337" t="s">
        <v>165</v>
      </c>
      <c r="C64" s="337"/>
      <c r="D64" s="58">
        <f>(0.91/30)*(1/12)</f>
        <v>2.5000000000000001E-3</v>
      </c>
      <c r="E64" s="46">
        <f>(E21+E49+E57+E79)*D64</f>
        <v>12.97</v>
      </c>
      <c r="F64" t="s">
        <v>225</v>
      </c>
    </row>
    <row r="65" spans="1:8" x14ac:dyDescent="0.25">
      <c r="A65" s="56" t="s">
        <v>18</v>
      </c>
      <c r="B65" s="340" t="s">
        <v>244</v>
      </c>
      <c r="C65" s="340"/>
      <c r="D65" s="117">
        <f>(7/30)*(1/24)</f>
        <v>9.7000000000000003E-3</v>
      </c>
      <c r="E65" s="46">
        <f>(E21+E49+E57+E79)*D65</f>
        <v>50.31</v>
      </c>
      <c r="F65" s="94" t="s">
        <v>226</v>
      </c>
    </row>
    <row r="66" spans="1:8" x14ac:dyDescent="0.25">
      <c r="A66" s="335" t="s">
        <v>166</v>
      </c>
      <c r="B66" s="336"/>
      <c r="C66" s="336"/>
      <c r="D66" s="70">
        <f>SUM(D60:D65)</f>
        <v>4.1700000000000001E-2</v>
      </c>
      <c r="E66" s="54">
        <f>SUM(E60:E65)</f>
        <v>216.29</v>
      </c>
    </row>
    <row r="67" spans="1:8" x14ac:dyDescent="0.25">
      <c r="A67" s="311"/>
      <c r="B67" s="312"/>
      <c r="C67" s="312"/>
      <c r="D67" s="312"/>
      <c r="E67" s="46"/>
    </row>
    <row r="68" spans="1:8" x14ac:dyDescent="0.25">
      <c r="A68" s="80" t="s">
        <v>123</v>
      </c>
      <c r="B68" s="314" t="s">
        <v>167</v>
      </c>
      <c r="C68" s="315"/>
      <c r="D68" s="315"/>
      <c r="E68" s="39" t="s">
        <v>8</v>
      </c>
    </row>
    <row r="69" spans="1:8" x14ac:dyDescent="0.25">
      <c r="A69" s="56" t="s">
        <v>0</v>
      </c>
      <c r="B69" s="337" t="s">
        <v>381</v>
      </c>
      <c r="C69" s="337"/>
      <c r="D69" s="337"/>
      <c r="E69" s="46">
        <f>' VIG.NOTURNO HORISTA '!E93</f>
        <v>807.37</v>
      </c>
      <c r="G69" s="87"/>
    </row>
    <row r="70" spans="1:8" ht="13.5" customHeight="1" x14ac:dyDescent="0.25">
      <c r="A70" s="56" t="s">
        <v>2</v>
      </c>
      <c r="B70" s="341"/>
      <c r="C70" s="342"/>
      <c r="D70" s="219"/>
      <c r="E70" s="46"/>
      <c r="G70" s="87"/>
    </row>
    <row r="71" spans="1:8" x14ac:dyDescent="0.25">
      <c r="A71" s="335" t="s">
        <v>25</v>
      </c>
      <c r="B71" s="336"/>
      <c r="C71" s="336"/>
      <c r="D71" s="59"/>
      <c r="E71" s="54">
        <f>SUM(E69:E70)</f>
        <v>807.37</v>
      </c>
    </row>
    <row r="72" spans="1:8" x14ac:dyDescent="0.25">
      <c r="A72" s="311" t="s">
        <v>169</v>
      </c>
      <c r="B72" s="312"/>
      <c r="C72" s="312"/>
      <c r="D72" s="312"/>
      <c r="E72" s="46"/>
    </row>
    <row r="73" spans="1:8" x14ac:dyDescent="0.25">
      <c r="A73" s="80">
        <v>4</v>
      </c>
      <c r="B73" s="314" t="s">
        <v>30</v>
      </c>
      <c r="C73" s="315"/>
      <c r="D73" s="315"/>
      <c r="E73" s="39" t="s">
        <v>8</v>
      </c>
    </row>
    <row r="74" spans="1:8" x14ac:dyDescent="0.25">
      <c r="A74" s="56" t="s">
        <v>22</v>
      </c>
      <c r="B74" s="337" t="s">
        <v>160</v>
      </c>
      <c r="C74" s="337"/>
      <c r="D74" s="58">
        <f>D66</f>
        <v>4.1700000000000001E-2</v>
      </c>
      <c r="E74" s="46">
        <f>E66</f>
        <v>216.29</v>
      </c>
    </row>
    <row r="75" spans="1:8" x14ac:dyDescent="0.25">
      <c r="A75" s="56" t="s">
        <v>26</v>
      </c>
      <c r="B75" s="337" t="s">
        <v>167</v>
      </c>
      <c r="C75" s="337"/>
      <c r="D75" s="58"/>
      <c r="E75" s="46">
        <f>E71</f>
        <v>807.37</v>
      </c>
      <c r="H75">
        <f>166.09*D70</f>
        <v>0</v>
      </c>
    </row>
    <row r="76" spans="1:8" x14ac:dyDescent="0.25">
      <c r="A76" s="335" t="s">
        <v>170</v>
      </c>
      <c r="B76" s="336"/>
      <c r="C76" s="336"/>
      <c r="D76" s="70">
        <f>SUM(D71:D75)</f>
        <v>4.1700000000000001E-2</v>
      </c>
      <c r="E76" s="54">
        <f>SUM(E74+E75)</f>
        <v>1023.66</v>
      </c>
    </row>
    <row r="77" spans="1:8" x14ac:dyDescent="0.25">
      <c r="A77" s="311" t="s">
        <v>171</v>
      </c>
      <c r="B77" s="312"/>
      <c r="C77" s="312"/>
      <c r="D77" s="312"/>
      <c r="E77" s="313"/>
    </row>
    <row r="78" spans="1:8" x14ac:dyDescent="0.25">
      <c r="A78" s="80">
        <v>5</v>
      </c>
      <c r="B78" s="314" t="s">
        <v>172</v>
      </c>
      <c r="C78" s="315"/>
      <c r="D78" s="315"/>
      <c r="E78" s="39" t="s">
        <v>8</v>
      </c>
    </row>
    <row r="79" spans="1:8" x14ac:dyDescent="0.25">
      <c r="A79" s="56" t="s">
        <v>0</v>
      </c>
      <c r="B79" s="337" t="s">
        <v>173</v>
      </c>
      <c r="C79" s="337"/>
      <c r="D79" s="337"/>
      <c r="E79" s="46">
        <f>'Mat. Unif.-LOTE I'!I13</f>
        <v>68.239999999999995</v>
      </c>
    </row>
    <row r="80" spans="1:8" x14ac:dyDescent="0.25">
      <c r="A80" s="56" t="s">
        <v>2</v>
      </c>
      <c r="B80" s="337" t="s">
        <v>174</v>
      </c>
      <c r="C80" s="337"/>
      <c r="D80" s="337"/>
      <c r="E80" s="46">
        <f>'Mat. Unif.-LOTE I'!I22</f>
        <v>2.06</v>
      </c>
    </row>
    <row r="81" spans="1:5" x14ac:dyDescent="0.25">
      <c r="A81" s="56" t="s">
        <v>3</v>
      </c>
      <c r="B81" s="337" t="s">
        <v>175</v>
      </c>
      <c r="C81" s="337"/>
      <c r="D81" s="337"/>
      <c r="E81" s="46">
        <f>'Mat. Unif.-LOTE I'!I36</f>
        <v>78.989999999999995</v>
      </c>
    </row>
    <row r="82" spans="1:5" x14ac:dyDescent="0.25">
      <c r="A82" s="56" t="s">
        <v>5</v>
      </c>
      <c r="B82" s="337" t="s">
        <v>253</v>
      </c>
      <c r="C82" s="337"/>
      <c r="D82" s="337"/>
      <c r="E82" s="46">
        <v>33.869999999999997</v>
      </c>
    </row>
    <row r="83" spans="1:5" x14ac:dyDescent="0.25">
      <c r="A83" s="335" t="s">
        <v>176</v>
      </c>
      <c r="B83" s="336"/>
      <c r="C83" s="336"/>
      <c r="D83" s="70" t="s">
        <v>123</v>
      </c>
      <c r="E83" s="54">
        <f>SUM(E79:E82)</f>
        <v>183.16</v>
      </c>
    </row>
    <row r="84" spans="1:5" x14ac:dyDescent="0.25">
      <c r="A84" s="344" t="s">
        <v>31</v>
      </c>
      <c r="B84" s="346"/>
      <c r="C84" s="346" t="s">
        <v>25</v>
      </c>
      <c r="D84" s="346"/>
      <c r="E84" s="46">
        <f>SUM(E21+E49+E57+E76+E83)</f>
        <v>6325.47</v>
      </c>
    </row>
    <row r="85" spans="1:5" ht="30.75" customHeight="1" x14ac:dyDescent="0.25">
      <c r="A85" s="347" t="s">
        <v>242</v>
      </c>
      <c r="B85" s="348"/>
      <c r="C85" s="348"/>
      <c r="D85" s="118"/>
      <c r="E85" s="54">
        <f>E84</f>
        <v>6325.47</v>
      </c>
    </row>
    <row r="86" spans="1:5" x14ac:dyDescent="0.25">
      <c r="A86" s="311" t="s">
        <v>177</v>
      </c>
      <c r="B86" s="312"/>
      <c r="C86" s="312"/>
      <c r="D86" s="312"/>
      <c r="E86" s="313"/>
    </row>
    <row r="87" spans="1:5" x14ac:dyDescent="0.25">
      <c r="A87" s="80">
        <v>6</v>
      </c>
      <c r="B87" s="314" t="s">
        <v>32</v>
      </c>
      <c r="C87" s="315"/>
      <c r="D87" s="315"/>
      <c r="E87" s="39" t="s">
        <v>8</v>
      </c>
    </row>
    <row r="88" spans="1:5" x14ac:dyDescent="0.25">
      <c r="A88" s="80" t="s">
        <v>0</v>
      </c>
      <c r="B88" s="149" t="s">
        <v>33</v>
      </c>
      <c r="C88" s="343">
        <v>0.06</v>
      </c>
      <c r="D88" s="343"/>
      <c r="E88" s="46">
        <f>+E85*C88</f>
        <v>379.53</v>
      </c>
    </row>
    <row r="89" spans="1:5" x14ac:dyDescent="0.25">
      <c r="A89" s="80" t="s">
        <v>2</v>
      </c>
      <c r="B89" s="149" t="s">
        <v>34</v>
      </c>
      <c r="C89" s="343">
        <v>6.7900000000000002E-2</v>
      </c>
      <c r="D89" s="343"/>
      <c r="E89" s="46">
        <f>C89*(+E85+E88)</f>
        <v>455.27</v>
      </c>
    </row>
    <row r="90" spans="1:5" ht="36" customHeight="1" x14ac:dyDescent="0.25">
      <c r="A90" s="344" t="s">
        <v>3</v>
      </c>
      <c r="B90" s="345" t="s">
        <v>44</v>
      </c>
      <c r="C90" s="345"/>
      <c r="D90" s="71">
        <f>+(100-8.65)/100</f>
        <v>0.91349999999999998</v>
      </c>
      <c r="E90" s="46">
        <f>+E85+E88+E89</f>
        <v>7160.27</v>
      </c>
    </row>
    <row r="91" spans="1:5" x14ac:dyDescent="0.25">
      <c r="A91" s="344"/>
      <c r="B91" s="148" t="s">
        <v>35</v>
      </c>
      <c r="C91" s="60"/>
      <c r="D91" s="60"/>
      <c r="E91" s="201">
        <f>+E90/D90</f>
        <v>7838.28</v>
      </c>
    </row>
    <row r="92" spans="1:5" x14ac:dyDescent="0.25">
      <c r="A92" s="344"/>
      <c r="B92" s="148" t="s">
        <v>36</v>
      </c>
      <c r="C92" s="148"/>
      <c r="D92" s="148"/>
      <c r="E92" s="46"/>
    </row>
    <row r="93" spans="1:5" x14ac:dyDescent="0.25">
      <c r="A93" s="344"/>
      <c r="B93" s="53" t="s">
        <v>208</v>
      </c>
      <c r="C93" s="61"/>
      <c r="D93" s="58">
        <v>6.4999999999999997E-3</v>
      </c>
      <c r="E93" s="46">
        <f>+E91*D93</f>
        <v>50.95</v>
      </c>
    </row>
    <row r="94" spans="1:5" x14ac:dyDescent="0.25">
      <c r="A94" s="344"/>
      <c r="B94" s="53" t="s">
        <v>209</v>
      </c>
      <c r="C94" s="61"/>
      <c r="D94" s="58">
        <v>0.03</v>
      </c>
      <c r="E94" s="46">
        <f>+E91*D94</f>
        <v>235.15</v>
      </c>
    </row>
    <row r="95" spans="1:5" x14ac:dyDescent="0.25">
      <c r="A95" s="344"/>
      <c r="B95" s="120" t="s">
        <v>37</v>
      </c>
      <c r="C95" s="73"/>
      <c r="D95" s="60"/>
      <c r="E95" s="46"/>
    </row>
    <row r="96" spans="1:5" x14ac:dyDescent="0.25">
      <c r="A96" s="344"/>
      <c r="B96" s="120" t="s">
        <v>38</v>
      </c>
      <c r="C96" s="73"/>
      <c r="D96" s="73"/>
      <c r="E96" s="46"/>
    </row>
    <row r="97" spans="1:5" x14ac:dyDescent="0.25">
      <c r="A97" s="344"/>
      <c r="B97" s="53" t="s">
        <v>247</v>
      </c>
      <c r="C97" s="61"/>
      <c r="D97" s="58">
        <v>0.05</v>
      </c>
      <c r="E97" s="46">
        <f>+E91*D97</f>
        <v>391.91</v>
      </c>
    </row>
    <row r="98" spans="1:5" x14ac:dyDescent="0.25">
      <c r="A98" s="80"/>
      <c r="B98" s="60" t="s">
        <v>39</v>
      </c>
      <c r="C98" s="60"/>
      <c r="D98" s="121">
        <f>SUM(D93:D97)</f>
        <v>8.6499999999999994E-2</v>
      </c>
      <c r="E98" s="46">
        <f>SUM(E93:E97)</f>
        <v>678.01</v>
      </c>
    </row>
    <row r="99" spans="1:5" x14ac:dyDescent="0.25">
      <c r="A99" s="335" t="s">
        <v>40</v>
      </c>
      <c r="B99" s="336"/>
      <c r="C99" s="336"/>
      <c r="D99" s="336"/>
      <c r="E99" s="54">
        <f>+E88+E89+E98</f>
        <v>1512.81</v>
      </c>
    </row>
    <row r="100" spans="1:5" x14ac:dyDescent="0.25">
      <c r="A100" s="344" t="s">
        <v>41</v>
      </c>
      <c r="B100" s="346"/>
      <c r="C100" s="346"/>
      <c r="D100" s="346"/>
      <c r="E100" s="39" t="s">
        <v>8</v>
      </c>
    </row>
    <row r="101" spans="1:5" x14ac:dyDescent="0.25">
      <c r="A101" s="80" t="s">
        <v>0</v>
      </c>
      <c r="B101" s="314" t="s">
        <v>42</v>
      </c>
      <c r="C101" s="314"/>
      <c r="D101" s="314"/>
      <c r="E101" s="46">
        <f>+E21</f>
        <v>2509.35</v>
      </c>
    </row>
    <row r="102" spans="1:5" x14ac:dyDescent="0.25">
      <c r="A102" s="80" t="s">
        <v>2</v>
      </c>
      <c r="B102" s="314" t="s">
        <v>178</v>
      </c>
      <c r="C102" s="314"/>
      <c r="D102" s="314"/>
      <c r="E102" s="46">
        <f>E49</f>
        <v>2428.39</v>
      </c>
    </row>
    <row r="103" spans="1:5" x14ac:dyDescent="0.25">
      <c r="A103" s="80" t="s">
        <v>3</v>
      </c>
      <c r="B103" s="314" t="s">
        <v>179</v>
      </c>
      <c r="C103" s="314"/>
      <c r="D103" s="314"/>
      <c r="E103" s="46">
        <f>E57</f>
        <v>180.91</v>
      </c>
    </row>
    <row r="104" spans="1:5" x14ac:dyDescent="0.25">
      <c r="A104" s="80" t="s">
        <v>5</v>
      </c>
      <c r="B104" s="314" t="s">
        <v>180</v>
      </c>
      <c r="C104" s="314"/>
      <c r="D104" s="314"/>
      <c r="E104" s="46">
        <f>E76</f>
        <v>1023.66</v>
      </c>
    </row>
    <row r="105" spans="1:5" x14ac:dyDescent="0.25">
      <c r="A105" s="80" t="s">
        <v>17</v>
      </c>
      <c r="B105" s="314" t="s">
        <v>181</v>
      </c>
      <c r="C105" s="314"/>
      <c r="D105" s="314"/>
      <c r="E105" s="46">
        <f>E83</f>
        <v>183.16</v>
      </c>
    </row>
    <row r="106" spans="1:5" ht="15" customHeight="1" x14ac:dyDescent="0.25">
      <c r="A106" s="359" t="s">
        <v>364</v>
      </c>
      <c r="B106" s="360"/>
      <c r="C106" s="360"/>
      <c r="D106" s="361"/>
      <c r="E106" s="46">
        <f>SUM(E101:E105)</f>
        <v>6325.47</v>
      </c>
    </row>
    <row r="107" spans="1:5" x14ac:dyDescent="0.25">
      <c r="A107" s="80" t="s">
        <v>18</v>
      </c>
      <c r="B107" s="314" t="s">
        <v>243</v>
      </c>
      <c r="C107" s="314"/>
      <c r="D107" s="314"/>
      <c r="E107" s="46">
        <f>+E99</f>
        <v>1512.81</v>
      </c>
    </row>
    <row r="108" spans="1:5" x14ac:dyDescent="0.25">
      <c r="A108" s="347" t="s">
        <v>43</v>
      </c>
      <c r="B108" s="348"/>
      <c r="C108" s="348"/>
      <c r="D108" s="348"/>
      <c r="E108" s="54">
        <f>+E106+E107</f>
        <v>7838.28</v>
      </c>
    </row>
    <row r="109" spans="1:5" x14ac:dyDescent="0.25">
      <c r="A109" s="351" t="s">
        <v>256</v>
      </c>
      <c r="B109" s="352"/>
      <c r="C109" s="352"/>
      <c r="D109" s="352"/>
      <c r="E109" s="202">
        <f>E108*2</f>
        <v>15676.56</v>
      </c>
    </row>
    <row r="110" spans="1:5" ht="15.75" customHeight="1" thickBot="1" x14ac:dyDescent="0.3">
      <c r="A110" s="353"/>
      <c r="B110" s="354"/>
      <c r="C110" s="354"/>
      <c r="D110" s="354"/>
      <c r="E110" s="355"/>
    </row>
  </sheetData>
  <mergeCells count="101">
    <mergeCell ref="C12:E12"/>
    <mergeCell ref="A1:E1"/>
    <mergeCell ref="A2:E2"/>
    <mergeCell ref="C3:E3"/>
    <mergeCell ref="C4:E4"/>
    <mergeCell ref="C5:E5"/>
    <mergeCell ref="C6:E6"/>
    <mergeCell ref="A7:E7"/>
    <mergeCell ref="A8:E8"/>
    <mergeCell ref="A9:E9"/>
    <mergeCell ref="C10:E10"/>
    <mergeCell ref="B11:D11"/>
    <mergeCell ref="A26:C26"/>
    <mergeCell ref="B13:D13"/>
    <mergeCell ref="A14:E14"/>
    <mergeCell ref="B15:D15"/>
    <mergeCell ref="C16:D16"/>
    <mergeCell ref="B19:D19"/>
    <mergeCell ref="A21:D21"/>
    <mergeCell ref="A22:E22"/>
    <mergeCell ref="B23:D23"/>
    <mergeCell ref="B24:C24"/>
    <mergeCell ref="B25:C25"/>
    <mergeCell ref="B38:D38"/>
    <mergeCell ref="A27:E27"/>
    <mergeCell ref="B28:D28"/>
    <mergeCell ref="B29:C29"/>
    <mergeCell ref="B30:C30"/>
    <mergeCell ref="B31:C31"/>
    <mergeCell ref="B32:C32"/>
    <mergeCell ref="B33:C33"/>
    <mergeCell ref="B34:C34"/>
    <mergeCell ref="B35:C35"/>
    <mergeCell ref="B36:C36"/>
    <mergeCell ref="A37:C37"/>
    <mergeCell ref="A50:E50"/>
    <mergeCell ref="B39:C39"/>
    <mergeCell ref="B40:C40"/>
    <mergeCell ref="B41:C41"/>
    <mergeCell ref="B42:C42"/>
    <mergeCell ref="B43:C43"/>
    <mergeCell ref="A44:D44"/>
    <mergeCell ref="A45:D45"/>
    <mergeCell ref="B46:D46"/>
    <mergeCell ref="B47:D47"/>
    <mergeCell ref="B48:D48"/>
    <mergeCell ref="A49:C49"/>
    <mergeCell ref="B62:C62"/>
    <mergeCell ref="B51:D51"/>
    <mergeCell ref="B52:C52"/>
    <mergeCell ref="B53:C53"/>
    <mergeCell ref="B54:C54"/>
    <mergeCell ref="B55:C55"/>
    <mergeCell ref="B56:C56"/>
    <mergeCell ref="A57:C57"/>
    <mergeCell ref="A58:E58"/>
    <mergeCell ref="B59:D59"/>
    <mergeCell ref="B60:C60"/>
    <mergeCell ref="B61:C61"/>
    <mergeCell ref="B75:C75"/>
    <mergeCell ref="B63:C63"/>
    <mergeCell ref="B64:C64"/>
    <mergeCell ref="B65:C65"/>
    <mergeCell ref="A66:C66"/>
    <mergeCell ref="A67:D67"/>
    <mergeCell ref="B68:D68"/>
    <mergeCell ref="B69:D69"/>
    <mergeCell ref="A71:C71"/>
    <mergeCell ref="A72:D72"/>
    <mergeCell ref="B73:D73"/>
    <mergeCell ref="B74:C74"/>
    <mergeCell ref="B70:C70"/>
    <mergeCell ref="A86:E86"/>
    <mergeCell ref="A76:C76"/>
    <mergeCell ref="A77:E77"/>
    <mergeCell ref="B78:D78"/>
    <mergeCell ref="B79:D79"/>
    <mergeCell ref="B80:D80"/>
    <mergeCell ref="B81:D81"/>
    <mergeCell ref="B82:D82"/>
    <mergeCell ref="A83:C83"/>
    <mergeCell ref="A84:B84"/>
    <mergeCell ref="C84:D84"/>
    <mergeCell ref="A85:C85"/>
    <mergeCell ref="B107:D107"/>
    <mergeCell ref="A108:D108"/>
    <mergeCell ref="A109:D109"/>
    <mergeCell ref="A110:E110"/>
    <mergeCell ref="A106:D106"/>
    <mergeCell ref="B105:D105"/>
    <mergeCell ref="B87:D87"/>
    <mergeCell ref="C88:D88"/>
    <mergeCell ref="C89:D89"/>
    <mergeCell ref="A90:A97"/>
    <mergeCell ref="B90:C90"/>
    <mergeCell ref="A99:D99"/>
    <mergeCell ref="A100:D100"/>
    <mergeCell ref="B101:D101"/>
    <mergeCell ref="B102:D102"/>
    <mergeCell ref="B103:D103"/>
    <mergeCell ref="B104:D104"/>
  </mergeCells>
  <hyperlinks>
    <hyperlink ref="B36" r:id="rId1" display="08 - Sebrae 0,3% ou 0,6% - IN nº 03, MPS/SRP/2005, Anexo II e III ver código da Tabela"/>
  </hyperlinks>
  <pageMargins left="0.51181102362204722" right="0.51181102362204722" top="0.78740157480314965" bottom="0.78740157480314965" header="0.31496062992125984" footer="0.31496062992125984"/>
  <pageSetup paperSize="9" scale="69" orientation="portrait" r:id="rId2"/>
  <rowBreaks count="1" manualBreakCount="1">
    <brk id="66" max="4" man="1"/>
  </rowBreaks>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J93"/>
  <sheetViews>
    <sheetView topLeftCell="A64" zoomScale="120" zoomScaleNormal="120" workbookViewId="0">
      <selection activeCell="E93" sqref="E93"/>
    </sheetView>
  </sheetViews>
  <sheetFormatPr defaultRowHeight="15" x14ac:dyDescent="0.25"/>
  <cols>
    <col min="1" max="1" width="11.140625" customWidth="1"/>
    <col min="2" max="2" width="47.42578125" customWidth="1"/>
    <col min="3" max="3" width="27.140625" customWidth="1"/>
    <col min="4" max="4" width="22.140625" customWidth="1"/>
    <col min="5" max="5" width="24.42578125" customWidth="1"/>
    <col min="8" max="8" width="12.7109375" bestFit="1" customWidth="1"/>
    <col min="9" max="9" width="15" customWidth="1"/>
    <col min="10" max="10" width="12.28515625" customWidth="1"/>
  </cols>
  <sheetData>
    <row r="1" spans="1:10" ht="21" x14ac:dyDescent="0.25">
      <c r="A1" s="300" t="s">
        <v>246</v>
      </c>
      <c r="B1" s="301"/>
      <c r="C1" s="301"/>
      <c r="D1" s="301"/>
      <c r="E1" s="302"/>
    </row>
    <row r="2" spans="1:10" x14ac:dyDescent="0.25">
      <c r="A2" s="303" t="s">
        <v>182</v>
      </c>
      <c r="B2" s="304"/>
      <c r="C2" s="304"/>
      <c r="D2" s="304"/>
      <c r="E2" s="305"/>
    </row>
    <row r="3" spans="1:10" x14ac:dyDescent="0.25">
      <c r="A3" s="37" t="s">
        <v>0</v>
      </c>
      <c r="B3" s="103" t="s">
        <v>1</v>
      </c>
      <c r="C3" s="306" t="s">
        <v>366</v>
      </c>
      <c r="D3" s="306"/>
      <c r="E3" s="307"/>
    </row>
    <row r="4" spans="1:10" x14ac:dyDescent="0.25">
      <c r="A4" s="37" t="s">
        <v>2</v>
      </c>
      <c r="B4" s="103" t="s">
        <v>125</v>
      </c>
      <c r="C4" s="308" t="s">
        <v>182</v>
      </c>
      <c r="D4" s="308"/>
      <c r="E4" s="309"/>
    </row>
    <row r="5" spans="1:10" ht="25.5" x14ac:dyDescent="0.25">
      <c r="A5" s="37" t="s">
        <v>3</v>
      </c>
      <c r="B5" s="103" t="s">
        <v>4</v>
      </c>
      <c r="C5" s="308" t="s">
        <v>340</v>
      </c>
      <c r="D5" s="308"/>
      <c r="E5" s="309"/>
    </row>
    <row r="6" spans="1:10" x14ac:dyDescent="0.25">
      <c r="A6" s="37" t="s">
        <v>5</v>
      </c>
      <c r="B6" s="103" t="s">
        <v>133</v>
      </c>
      <c r="C6" s="308">
        <v>12</v>
      </c>
      <c r="D6" s="308"/>
      <c r="E6" s="309"/>
    </row>
    <row r="7" spans="1:10" x14ac:dyDescent="0.25">
      <c r="A7" s="358" t="s">
        <v>6</v>
      </c>
      <c r="B7" s="327"/>
      <c r="C7" s="327"/>
      <c r="D7" s="327"/>
      <c r="E7" s="328"/>
    </row>
    <row r="8" spans="1:10" x14ac:dyDescent="0.25">
      <c r="A8" s="324" t="s">
        <v>7</v>
      </c>
      <c r="B8" s="325"/>
      <c r="C8" s="325"/>
      <c r="D8" s="325"/>
      <c r="E8" s="326"/>
    </row>
    <row r="9" spans="1:10" x14ac:dyDescent="0.25">
      <c r="A9" s="324" t="s">
        <v>235</v>
      </c>
      <c r="B9" s="327"/>
      <c r="C9" s="327"/>
      <c r="D9" s="327"/>
      <c r="E9" s="328"/>
    </row>
    <row r="10" spans="1:10" ht="25.5" x14ac:dyDescent="0.25">
      <c r="A10" s="37">
        <v>1</v>
      </c>
      <c r="B10" s="40" t="s">
        <v>124</v>
      </c>
      <c r="C10" s="368" t="s">
        <v>229</v>
      </c>
      <c r="D10" s="368"/>
      <c r="E10" s="368"/>
    </row>
    <row r="11" spans="1:10" x14ac:dyDescent="0.25">
      <c r="A11" s="37">
        <v>2</v>
      </c>
      <c r="B11" s="331" t="s">
        <v>9</v>
      </c>
      <c r="C11" s="331"/>
      <c r="D11" s="331"/>
      <c r="E11" s="198">
        <v>1695.43</v>
      </c>
      <c r="I11">
        <v>1695.43</v>
      </c>
    </row>
    <row r="12" spans="1:10" x14ac:dyDescent="0.25">
      <c r="A12" s="37">
        <v>3</v>
      </c>
      <c r="B12" s="40" t="s">
        <v>10</v>
      </c>
      <c r="C12" s="329" t="s">
        <v>252</v>
      </c>
      <c r="D12" s="329"/>
      <c r="E12" s="330"/>
      <c r="I12">
        <f>I11/220</f>
        <v>7.7065000000000001</v>
      </c>
    </row>
    <row r="13" spans="1:10" x14ac:dyDescent="0.25">
      <c r="A13" s="37">
        <v>4</v>
      </c>
      <c r="B13" s="310" t="s">
        <v>11</v>
      </c>
      <c r="C13" s="310"/>
      <c r="D13" s="310"/>
      <c r="E13" s="221" t="s">
        <v>341</v>
      </c>
    </row>
    <row r="14" spans="1:10" x14ac:dyDescent="0.25">
      <c r="A14" s="311" t="s">
        <v>12</v>
      </c>
      <c r="B14" s="312"/>
      <c r="C14" s="312"/>
      <c r="D14" s="312"/>
      <c r="E14" s="313"/>
      <c r="I14" s="125"/>
      <c r="J14" s="125"/>
    </row>
    <row r="15" spans="1:10" x14ac:dyDescent="0.25">
      <c r="A15" s="226">
        <v>1</v>
      </c>
      <c r="B15" s="314" t="s">
        <v>13</v>
      </c>
      <c r="C15" s="315"/>
      <c r="D15" s="315"/>
      <c r="E15" s="39" t="s">
        <v>8</v>
      </c>
      <c r="J15" s="125"/>
    </row>
    <row r="16" spans="1:10" ht="27.75" customHeight="1" x14ac:dyDescent="0.25">
      <c r="A16" s="48" t="s">
        <v>0</v>
      </c>
      <c r="B16" s="52" t="s">
        <v>350</v>
      </c>
      <c r="C16" s="367">
        <v>15.21</v>
      </c>
      <c r="D16" s="367"/>
      <c r="E16" s="50">
        <f>(E11/220)*15.21</f>
        <v>117.22</v>
      </c>
    </row>
    <row r="17" spans="1:5" x14ac:dyDescent="0.25">
      <c r="A17" s="48" t="s">
        <v>2</v>
      </c>
      <c r="B17" s="52" t="s">
        <v>351</v>
      </c>
      <c r="C17" s="225"/>
      <c r="D17" s="107"/>
      <c r="E17" s="199">
        <f>(E16)/25*5</f>
        <v>23.44</v>
      </c>
    </row>
    <row r="18" spans="1:5" ht="17.25" customHeight="1" x14ac:dyDescent="0.25">
      <c r="A18" s="48" t="s">
        <v>3</v>
      </c>
      <c r="B18" s="49" t="s">
        <v>16</v>
      </c>
      <c r="C18" s="317">
        <v>0</v>
      </c>
      <c r="D18" s="318"/>
      <c r="E18" s="199">
        <f>0</f>
        <v>0</v>
      </c>
    </row>
    <row r="19" spans="1:5" ht="14.25" customHeight="1" x14ac:dyDescent="0.25">
      <c r="A19" s="48" t="s">
        <v>123</v>
      </c>
      <c r="B19" s="319" t="s">
        <v>210</v>
      </c>
      <c r="C19" s="320"/>
      <c r="D19" s="320"/>
      <c r="E19" s="51">
        <f>SUM(E16:E18)</f>
        <v>140.66</v>
      </c>
    </row>
    <row r="20" spans="1:5" ht="19.5" customHeight="1" x14ac:dyDescent="0.25">
      <c r="A20" s="48" t="s">
        <v>5</v>
      </c>
      <c r="B20" s="49" t="s">
        <v>15</v>
      </c>
      <c r="C20" s="110">
        <v>0.3</v>
      </c>
      <c r="D20" s="111"/>
      <c r="E20" s="199">
        <f>E19*C20</f>
        <v>42.2</v>
      </c>
    </row>
    <row r="21" spans="1:5" x14ac:dyDescent="0.25">
      <c r="A21" s="335" t="s">
        <v>20</v>
      </c>
      <c r="B21" s="336"/>
      <c r="C21" s="336"/>
      <c r="D21" s="336"/>
      <c r="E21" s="54">
        <f>SUM(E19:E20)</f>
        <v>182.86</v>
      </c>
    </row>
    <row r="22" spans="1:5" x14ac:dyDescent="0.25">
      <c r="A22" s="311" t="s">
        <v>45</v>
      </c>
      <c r="B22" s="312"/>
      <c r="C22" s="312"/>
      <c r="D22" s="312"/>
      <c r="E22" s="313"/>
    </row>
    <row r="23" spans="1:5" x14ac:dyDescent="0.25">
      <c r="A23" s="226" t="s">
        <v>134</v>
      </c>
      <c r="B23" s="314" t="s">
        <v>135</v>
      </c>
      <c r="C23" s="315"/>
      <c r="D23" s="315"/>
      <c r="E23" s="39" t="s">
        <v>8</v>
      </c>
    </row>
    <row r="24" spans="1:5" x14ac:dyDescent="0.25">
      <c r="A24" s="56" t="s">
        <v>0</v>
      </c>
      <c r="B24" s="337" t="s">
        <v>27</v>
      </c>
      <c r="C24" s="337"/>
      <c r="D24" s="58">
        <f>1/12</f>
        <v>8.3299999999999999E-2</v>
      </c>
      <c r="E24" s="46">
        <f>ROUND(+$E$21*D24,2)</f>
        <v>15.23</v>
      </c>
    </row>
    <row r="25" spans="1:5" x14ac:dyDescent="0.25">
      <c r="A25" s="56" t="s">
        <v>2</v>
      </c>
      <c r="B25" s="337" t="s">
        <v>136</v>
      </c>
      <c r="C25" s="337"/>
      <c r="D25" s="58">
        <v>0.1111</v>
      </c>
      <c r="E25" s="46">
        <f>ROUND(+$E$21*D25,2)</f>
        <v>20.32</v>
      </c>
    </row>
    <row r="26" spans="1:5" x14ac:dyDescent="0.25">
      <c r="A26" s="335" t="s">
        <v>25</v>
      </c>
      <c r="B26" s="336"/>
      <c r="C26" s="338"/>
      <c r="D26" s="59">
        <f>SUM(D24:D25)</f>
        <v>0.19439999999999999</v>
      </c>
      <c r="E26" s="54">
        <f>SUM(E24:E25)</f>
        <v>35.549999999999997</v>
      </c>
    </row>
    <row r="27" spans="1:5" ht="29.25" customHeight="1" x14ac:dyDescent="0.25">
      <c r="A27" s="332" t="s">
        <v>137</v>
      </c>
      <c r="B27" s="333"/>
      <c r="C27" s="333"/>
      <c r="D27" s="333"/>
      <c r="E27" s="334"/>
    </row>
    <row r="28" spans="1:5" x14ac:dyDescent="0.25">
      <c r="A28" s="226" t="s">
        <v>138</v>
      </c>
      <c r="B28" s="314" t="s">
        <v>23</v>
      </c>
      <c r="C28" s="315"/>
      <c r="D28" s="315"/>
      <c r="E28" s="39" t="s">
        <v>8</v>
      </c>
    </row>
    <row r="29" spans="1:5" x14ac:dyDescent="0.25">
      <c r="A29" s="56" t="s">
        <v>0</v>
      </c>
      <c r="B29" s="310" t="s">
        <v>139</v>
      </c>
      <c r="C29" s="310"/>
      <c r="D29" s="58">
        <v>0.2</v>
      </c>
      <c r="E29" s="46">
        <f>(E21+E26)*D29</f>
        <v>43.68</v>
      </c>
    </row>
    <row r="30" spans="1:5" x14ac:dyDescent="0.25">
      <c r="A30" s="56" t="s">
        <v>2</v>
      </c>
      <c r="B30" s="310" t="s">
        <v>140</v>
      </c>
      <c r="C30" s="310"/>
      <c r="D30" s="58">
        <v>1.4999999999999999E-2</v>
      </c>
      <c r="E30" s="46">
        <f>(E21+E26)*D30</f>
        <v>3.28</v>
      </c>
    </row>
    <row r="31" spans="1:5" x14ac:dyDescent="0.25">
      <c r="A31" s="56" t="s">
        <v>3</v>
      </c>
      <c r="B31" s="310" t="s">
        <v>240</v>
      </c>
      <c r="C31" s="310"/>
      <c r="D31" s="58">
        <v>0.01</v>
      </c>
      <c r="E31" s="46">
        <f>(E21+E26)*D31</f>
        <v>2.1800000000000002</v>
      </c>
    </row>
    <row r="32" spans="1:5" x14ac:dyDescent="0.25">
      <c r="A32" s="56" t="s">
        <v>5</v>
      </c>
      <c r="B32" s="310" t="s">
        <v>142</v>
      </c>
      <c r="C32" s="310"/>
      <c r="D32" s="58">
        <v>2E-3</v>
      </c>
      <c r="E32" s="46">
        <f>(E21+E26)*D32</f>
        <v>0.44</v>
      </c>
    </row>
    <row r="33" spans="1:9" x14ac:dyDescent="0.25">
      <c r="A33" s="56" t="s">
        <v>17</v>
      </c>
      <c r="B33" s="310" t="s">
        <v>241</v>
      </c>
      <c r="C33" s="310"/>
      <c r="D33" s="58">
        <v>2.5000000000000001E-2</v>
      </c>
      <c r="E33" s="46">
        <f>(E21+E26)*D33</f>
        <v>5.46</v>
      </c>
    </row>
    <row r="34" spans="1:9" x14ac:dyDescent="0.25">
      <c r="A34" s="56" t="s">
        <v>18</v>
      </c>
      <c r="B34" s="310" t="s">
        <v>144</v>
      </c>
      <c r="C34" s="310"/>
      <c r="D34" s="58">
        <v>0.08</v>
      </c>
      <c r="E34" s="46">
        <f>(E21+E26)*D34</f>
        <v>17.47</v>
      </c>
    </row>
    <row r="35" spans="1:9" x14ac:dyDescent="0.25">
      <c r="A35" s="56" t="s">
        <v>19</v>
      </c>
      <c r="B35" s="310" t="s">
        <v>145</v>
      </c>
      <c r="C35" s="310"/>
      <c r="D35" s="58">
        <v>0.06</v>
      </c>
      <c r="E35" s="46">
        <f>(E21+E26)*D35</f>
        <v>13.1</v>
      </c>
    </row>
    <row r="36" spans="1:9" x14ac:dyDescent="0.25">
      <c r="A36" s="63" t="s">
        <v>24</v>
      </c>
      <c r="B36" s="339" t="s">
        <v>146</v>
      </c>
      <c r="C36" s="339"/>
      <c r="D36" s="66">
        <v>6.0000000000000001E-3</v>
      </c>
      <c r="E36" s="55">
        <f>(E21+E26)*D36</f>
        <v>1.31</v>
      </c>
    </row>
    <row r="37" spans="1:9" x14ac:dyDescent="0.25">
      <c r="A37" s="335" t="s">
        <v>25</v>
      </c>
      <c r="B37" s="336"/>
      <c r="C37" s="338"/>
      <c r="D37" s="59">
        <f>SUM(D29:D36)</f>
        <v>0.39800000000000002</v>
      </c>
      <c r="E37" s="54">
        <f>SUM(E29:E36)</f>
        <v>86.92</v>
      </c>
      <c r="I37">
        <f>15.21*2</f>
        <v>30.42</v>
      </c>
    </row>
    <row r="38" spans="1:9" x14ac:dyDescent="0.25">
      <c r="A38" s="226" t="s">
        <v>147</v>
      </c>
      <c r="B38" s="314" t="s">
        <v>148</v>
      </c>
      <c r="C38" s="315"/>
      <c r="D38" s="315"/>
      <c r="E38" s="39" t="s">
        <v>8</v>
      </c>
      <c r="I38">
        <f>I37*6</f>
        <v>182.52</v>
      </c>
    </row>
    <row r="39" spans="1:9" ht="15" customHeight="1" x14ac:dyDescent="0.25">
      <c r="A39" s="56" t="s">
        <v>0</v>
      </c>
      <c r="B39" s="337" t="s">
        <v>352</v>
      </c>
      <c r="C39" s="337"/>
      <c r="D39" s="98">
        <v>6</v>
      </c>
      <c r="E39" s="200">
        <f>(D39*30.42)-(E16*0.06)</f>
        <v>175.49</v>
      </c>
      <c r="I39" s="125">
        <f>E19*6%</f>
        <v>8.44</v>
      </c>
    </row>
    <row r="40" spans="1:9" ht="24" customHeight="1" x14ac:dyDescent="0.25">
      <c r="A40" s="56" t="s">
        <v>2</v>
      </c>
      <c r="B40" s="337" t="s">
        <v>353</v>
      </c>
      <c r="C40" s="337"/>
      <c r="D40" s="89">
        <v>3.42</v>
      </c>
      <c r="E40" s="50">
        <f>(D40*C16)-(D40*C16*1%)</f>
        <v>51.5</v>
      </c>
      <c r="I40" s="125">
        <f>I38-I39</f>
        <v>174.08</v>
      </c>
    </row>
    <row r="41" spans="1:9" ht="15" customHeight="1" x14ac:dyDescent="0.25">
      <c r="A41" s="56" t="s">
        <v>3</v>
      </c>
      <c r="B41" s="337" t="s">
        <v>354</v>
      </c>
      <c r="C41" s="337"/>
      <c r="D41" s="92"/>
      <c r="E41" s="50">
        <f>((E11*16%) -(E11*1%))/12</f>
        <v>21.19</v>
      </c>
    </row>
    <row r="42" spans="1:9" ht="15" customHeight="1" x14ac:dyDescent="0.25">
      <c r="A42" s="56" t="s">
        <v>5</v>
      </c>
      <c r="B42" s="337" t="s">
        <v>345</v>
      </c>
      <c r="C42" s="337"/>
      <c r="D42" s="85">
        <v>14.16</v>
      </c>
      <c r="E42" s="200">
        <f>D42</f>
        <v>14.16</v>
      </c>
      <c r="H42" s="125"/>
    </row>
    <row r="43" spans="1:9" ht="15" customHeight="1" x14ac:dyDescent="0.25">
      <c r="A43" s="56" t="s">
        <v>17</v>
      </c>
      <c r="B43" s="337" t="s">
        <v>346</v>
      </c>
      <c r="C43" s="337"/>
      <c r="D43" s="85"/>
      <c r="E43" s="200">
        <v>13.81</v>
      </c>
      <c r="H43" s="125"/>
    </row>
    <row r="44" spans="1:9" ht="15.6" customHeight="1" x14ac:dyDescent="0.25">
      <c r="A44" s="335" t="s">
        <v>21</v>
      </c>
      <c r="B44" s="336"/>
      <c r="C44" s="336"/>
      <c r="D44" s="336"/>
      <c r="E44" s="54">
        <f>SUM(E39:E43)</f>
        <v>276.14999999999998</v>
      </c>
      <c r="H44" s="125"/>
    </row>
    <row r="45" spans="1:9" x14ac:dyDescent="0.25">
      <c r="A45" s="311" t="s">
        <v>150</v>
      </c>
      <c r="B45" s="312"/>
      <c r="C45" s="312"/>
      <c r="D45" s="312"/>
      <c r="E45" s="46"/>
      <c r="H45" s="125"/>
    </row>
    <row r="46" spans="1:9" x14ac:dyDescent="0.25">
      <c r="A46" s="226" t="s">
        <v>134</v>
      </c>
      <c r="B46" s="314" t="s">
        <v>151</v>
      </c>
      <c r="C46" s="315"/>
      <c r="D46" s="315"/>
      <c r="E46" s="47">
        <f>E26</f>
        <v>35.549999999999997</v>
      </c>
      <c r="H46" s="125"/>
    </row>
    <row r="47" spans="1:9" x14ac:dyDescent="0.25">
      <c r="A47" s="226" t="s">
        <v>138</v>
      </c>
      <c r="B47" s="337" t="s">
        <v>250</v>
      </c>
      <c r="C47" s="337"/>
      <c r="D47" s="337"/>
      <c r="E47" s="46">
        <f>E37</f>
        <v>86.92</v>
      </c>
    </row>
    <row r="48" spans="1:9" x14ac:dyDescent="0.25">
      <c r="A48" s="226" t="s">
        <v>147</v>
      </c>
      <c r="B48" s="337" t="s">
        <v>153</v>
      </c>
      <c r="C48" s="337"/>
      <c r="D48" s="337"/>
      <c r="E48" s="46">
        <f>E44</f>
        <v>276.14999999999998</v>
      </c>
    </row>
    <row r="49" spans="1:6" x14ac:dyDescent="0.25">
      <c r="A49" s="335" t="s">
        <v>25</v>
      </c>
      <c r="B49" s="336"/>
      <c r="C49" s="338"/>
      <c r="D49" s="68" t="s">
        <v>123</v>
      </c>
      <c r="E49" s="54">
        <f>SUM(E46:E48)</f>
        <v>398.62</v>
      </c>
    </row>
    <row r="50" spans="1:6" x14ac:dyDescent="0.25">
      <c r="A50" s="311" t="s">
        <v>154</v>
      </c>
      <c r="B50" s="312"/>
      <c r="C50" s="312"/>
      <c r="D50" s="312"/>
      <c r="E50" s="313"/>
    </row>
    <row r="51" spans="1:6" x14ac:dyDescent="0.25">
      <c r="A51" s="226" t="s">
        <v>155</v>
      </c>
      <c r="B51" s="314" t="s">
        <v>28</v>
      </c>
      <c r="C51" s="315"/>
      <c r="D51" s="315"/>
      <c r="E51" s="39" t="s">
        <v>8</v>
      </c>
    </row>
    <row r="52" spans="1:6" x14ac:dyDescent="0.25">
      <c r="A52" s="56" t="s">
        <v>0</v>
      </c>
      <c r="B52" s="337" t="s">
        <v>156</v>
      </c>
      <c r="C52" s="337"/>
      <c r="D52" s="58">
        <v>4.5999999999999999E-3</v>
      </c>
      <c r="E52" s="46">
        <f t="shared" ref="E52:E55" si="0">ROUND(+D52*$E$21,2)</f>
        <v>0.84</v>
      </c>
    </row>
    <row r="53" spans="1:6" x14ac:dyDescent="0.25">
      <c r="A53" s="56" t="s">
        <v>2</v>
      </c>
      <c r="B53" s="337" t="s">
        <v>157</v>
      </c>
      <c r="C53" s="337"/>
      <c r="D53" s="58">
        <f>D34*D52</f>
        <v>4.0000000000000002E-4</v>
      </c>
      <c r="E53" s="46">
        <f t="shared" si="0"/>
        <v>7.0000000000000007E-2</v>
      </c>
    </row>
    <row r="54" spans="1:6" x14ac:dyDescent="0.25">
      <c r="A54" s="56" t="s">
        <v>3</v>
      </c>
      <c r="B54" s="310" t="s">
        <v>29</v>
      </c>
      <c r="C54" s="310"/>
      <c r="D54" s="58">
        <v>1.9400000000000001E-2</v>
      </c>
      <c r="E54" s="46">
        <f t="shared" si="0"/>
        <v>3.55</v>
      </c>
    </row>
    <row r="55" spans="1:6" x14ac:dyDescent="0.25">
      <c r="A55" s="56" t="s">
        <v>5</v>
      </c>
      <c r="B55" s="337" t="s">
        <v>158</v>
      </c>
      <c r="C55" s="337"/>
      <c r="D55" s="58">
        <f>D37*D54</f>
        <v>7.7000000000000002E-3</v>
      </c>
      <c r="E55" s="46">
        <f t="shared" si="0"/>
        <v>1.41</v>
      </c>
    </row>
    <row r="56" spans="1:6" ht="33" customHeight="1" x14ac:dyDescent="0.25">
      <c r="A56" s="56" t="s">
        <v>17</v>
      </c>
      <c r="B56" s="337" t="s">
        <v>211</v>
      </c>
      <c r="C56" s="337"/>
      <c r="D56" s="58">
        <f>4%</f>
        <v>0.04</v>
      </c>
      <c r="E56" s="46">
        <f>ROUND(+D56*$E$21,2)</f>
        <v>7.31</v>
      </c>
    </row>
    <row r="57" spans="1:6" x14ac:dyDescent="0.25">
      <c r="A57" s="335" t="s">
        <v>25</v>
      </c>
      <c r="B57" s="336"/>
      <c r="C57" s="336"/>
      <c r="D57" s="70">
        <f>SUM(D52:D56)</f>
        <v>7.2099999999999997E-2</v>
      </c>
      <c r="E57" s="54">
        <f>SUM(E52:E56)</f>
        <v>13.18</v>
      </c>
    </row>
    <row r="58" spans="1:6" x14ac:dyDescent="0.25">
      <c r="A58" s="311" t="s">
        <v>159</v>
      </c>
      <c r="B58" s="312"/>
      <c r="C58" s="312"/>
      <c r="D58" s="312"/>
      <c r="E58" s="313"/>
    </row>
    <row r="59" spans="1:6" x14ac:dyDescent="0.25">
      <c r="A59" s="226" t="s">
        <v>22</v>
      </c>
      <c r="B59" s="312" t="s">
        <v>160</v>
      </c>
      <c r="C59" s="312"/>
      <c r="D59" s="312"/>
      <c r="E59" s="39" t="s">
        <v>8</v>
      </c>
    </row>
    <row r="60" spans="1:6" x14ac:dyDescent="0.25">
      <c r="A60" s="56" t="s">
        <v>0</v>
      </c>
      <c r="B60" s="337" t="s">
        <v>161</v>
      </c>
      <c r="C60" s="337"/>
      <c r="D60" s="58">
        <f>((1+1/3)/12)/12</f>
        <v>9.2999999999999992E-3</v>
      </c>
      <c r="E60" s="46">
        <f>(E21+E49+E57+E79)*D60</f>
        <v>6.16</v>
      </c>
    </row>
    <row r="61" spans="1:6" x14ac:dyDescent="0.25">
      <c r="A61" s="56" t="s">
        <v>2</v>
      </c>
      <c r="B61" s="337" t="s">
        <v>162</v>
      </c>
      <c r="C61" s="337"/>
      <c r="D61" s="58">
        <v>1.66E-2</v>
      </c>
      <c r="E61" s="46">
        <f>(E21+E49+E57+E79)*D61</f>
        <v>11</v>
      </c>
      <c r="F61" t="s">
        <v>222</v>
      </c>
    </row>
    <row r="62" spans="1:6" x14ac:dyDescent="0.25">
      <c r="A62" s="56" t="s">
        <v>3</v>
      </c>
      <c r="B62" s="337" t="s">
        <v>163</v>
      </c>
      <c r="C62" s="337"/>
      <c r="D62" s="58">
        <f>(5/30)*(1/12)*6.24%*95.04%</f>
        <v>8.0000000000000004E-4</v>
      </c>
      <c r="E62" s="46">
        <f>(E21+E49+E57+E79)*D62</f>
        <v>0.53</v>
      </c>
      <c r="F62" t="s">
        <v>223</v>
      </c>
    </row>
    <row r="63" spans="1:6" x14ac:dyDescent="0.25">
      <c r="A63" s="56" t="s">
        <v>5</v>
      </c>
      <c r="B63" s="337" t="s">
        <v>164</v>
      </c>
      <c r="C63" s="337"/>
      <c r="D63" s="58">
        <f>(1/30)*(1/12)</f>
        <v>2.8E-3</v>
      </c>
      <c r="E63" s="46">
        <f>(E21+E49+E57+E79)*D63</f>
        <v>1.86</v>
      </c>
      <c r="F63" t="s">
        <v>224</v>
      </c>
    </row>
    <row r="64" spans="1:6" x14ac:dyDescent="0.25">
      <c r="A64" s="56" t="s">
        <v>17</v>
      </c>
      <c r="B64" s="337" t="s">
        <v>165</v>
      </c>
      <c r="C64" s="337"/>
      <c r="D64" s="58">
        <f>(0.91/30)*(1/12)</f>
        <v>2.5000000000000001E-3</v>
      </c>
      <c r="E64" s="46">
        <f>(E21+E49+E57+E79)*D64</f>
        <v>1.66</v>
      </c>
      <c r="F64" t="s">
        <v>225</v>
      </c>
    </row>
    <row r="65" spans="1:7" x14ac:dyDescent="0.25">
      <c r="A65" s="56" t="s">
        <v>18</v>
      </c>
      <c r="B65" s="340" t="s">
        <v>244</v>
      </c>
      <c r="C65" s="340"/>
      <c r="D65" s="117">
        <f>(7/30)*(1/24)</f>
        <v>9.7000000000000003E-3</v>
      </c>
      <c r="E65" s="46">
        <f>(E21+E49+E57+E79)*D65</f>
        <v>6.43</v>
      </c>
      <c r="F65" s="94" t="s">
        <v>226</v>
      </c>
    </row>
    <row r="66" spans="1:7" x14ac:dyDescent="0.25">
      <c r="A66" s="335" t="s">
        <v>166</v>
      </c>
      <c r="B66" s="336"/>
      <c r="C66" s="336"/>
      <c r="D66" s="70">
        <f>SUM(D60:D65)</f>
        <v>4.1700000000000001E-2</v>
      </c>
      <c r="E66" s="54">
        <f>SUM(E60:E65)</f>
        <v>27.64</v>
      </c>
    </row>
    <row r="67" spans="1:7" x14ac:dyDescent="0.25">
      <c r="A67" s="311"/>
      <c r="B67" s="312"/>
      <c r="C67" s="312"/>
      <c r="D67" s="312"/>
      <c r="E67" s="46"/>
    </row>
    <row r="68" spans="1:7" x14ac:dyDescent="0.25">
      <c r="A68" s="226" t="s">
        <v>123</v>
      </c>
      <c r="B68" s="314" t="s">
        <v>167</v>
      </c>
      <c r="C68" s="315"/>
      <c r="D68" s="315"/>
      <c r="E68" s="39" t="s">
        <v>8</v>
      </c>
    </row>
    <row r="69" spans="1:7" x14ac:dyDescent="0.25">
      <c r="A69" s="56" t="s">
        <v>0</v>
      </c>
      <c r="B69" s="337" t="s">
        <v>245</v>
      </c>
      <c r="C69" s="337"/>
      <c r="D69" s="337"/>
      <c r="E69" s="46">
        <f ca="1">' VIG. DIURNO HORISTA'!E69</f>
        <v>0</v>
      </c>
      <c r="G69" s="87"/>
    </row>
    <row r="70" spans="1:7" ht="12" customHeight="1" x14ac:dyDescent="0.25">
      <c r="A70" s="56" t="s">
        <v>2</v>
      </c>
      <c r="B70" s="341"/>
      <c r="C70" s="342"/>
      <c r="D70" s="219"/>
      <c r="E70" s="46">
        <f ca="1">E69*D70</f>
        <v>0</v>
      </c>
      <c r="G70" s="87"/>
    </row>
    <row r="71" spans="1:7" ht="18" customHeight="1" x14ac:dyDescent="0.25">
      <c r="A71" s="335" t="s">
        <v>25</v>
      </c>
      <c r="B71" s="336"/>
      <c r="C71" s="336"/>
      <c r="D71" s="59"/>
      <c r="E71" s="54">
        <f ca="1">SUM(E69:E70)</f>
        <v>0</v>
      </c>
    </row>
    <row r="72" spans="1:7" x14ac:dyDescent="0.25">
      <c r="A72" s="311" t="s">
        <v>169</v>
      </c>
      <c r="B72" s="312"/>
      <c r="C72" s="312"/>
      <c r="D72" s="312"/>
      <c r="E72" s="46"/>
    </row>
    <row r="73" spans="1:7" x14ac:dyDescent="0.25">
      <c r="A73" s="226">
        <v>4</v>
      </c>
      <c r="B73" s="314" t="s">
        <v>30</v>
      </c>
      <c r="C73" s="315"/>
      <c r="D73" s="315"/>
      <c r="E73" s="39" t="s">
        <v>8</v>
      </c>
    </row>
    <row r="74" spans="1:7" x14ac:dyDescent="0.25">
      <c r="A74" s="56" t="s">
        <v>22</v>
      </c>
      <c r="B74" s="337" t="s">
        <v>160</v>
      </c>
      <c r="C74" s="337"/>
      <c r="D74" s="58">
        <f>D66</f>
        <v>4.1700000000000001E-2</v>
      </c>
      <c r="E74" s="46">
        <f>E66</f>
        <v>27.64</v>
      </c>
    </row>
    <row r="75" spans="1:7" x14ac:dyDescent="0.25">
      <c r="A75" s="56" t="s">
        <v>26</v>
      </c>
      <c r="B75" s="337" t="s">
        <v>167</v>
      </c>
      <c r="C75" s="337"/>
      <c r="D75" s="58"/>
      <c r="E75" s="46">
        <f ca="1">E71</f>
        <v>0</v>
      </c>
    </row>
    <row r="76" spans="1:7" x14ac:dyDescent="0.25">
      <c r="A76" s="335" t="s">
        <v>170</v>
      </c>
      <c r="B76" s="336"/>
      <c r="C76" s="336"/>
      <c r="D76" s="70">
        <f>SUM(D71:D75)</f>
        <v>4.1700000000000001E-2</v>
      </c>
      <c r="E76" s="54">
        <f ca="1">SUM(E74+E75)</f>
        <v>27.64</v>
      </c>
    </row>
    <row r="77" spans="1:7" x14ac:dyDescent="0.25">
      <c r="A77" s="311" t="s">
        <v>171</v>
      </c>
      <c r="B77" s="312"/>
      <c r="C77" s="312"/>
      <c r="D77" s="312"/>
      <c r="E77" s="313"/>
    </row>
    <row r="78" spans="1:7" x14ac:dyDescent="0.25">
      <c r="A78" s="226">
        <v>5</v>
      </c>
      <c r="B78" s="314" t="s">
        <v>172</v>
      </c>
      <c r="C78" s="315"/>
      <c r="D78" s="315"/>
      <c r="E78" s="39" t="s">
        <v>8</v>
      </c>
    </row>
    <row r="79" spans="1:7" x14ac:dyDescent="0.25">
      <c r="A79" s="56" t="s">
        <v>0</v>
      </c>
      <c r="B79" s="337" t="s">
        <v>173</v>
      </c>
      <c r="C79" s="337"/>
      <c r="D79" s="337"/>
      <c r="E79" s="46">
        <f>'Mat. Unif.-LOTE I'!I13</f>
        <v>68.239999999999995</v>
      </c>
    </row>
    <row r="80" spans="1:7" x14ac:dyDescent="0.25">
      <c r="A80" s="56" t="s">
        <v>2</v>
      </c>
      <c r="B80" s="337" t="s">
        <v>174</v>
      </c>
      <c r="C80" s="337"/>
      <c r="D80" s="337"/>
      <c r="E80" s="46"/>
    </row>
    <row r="81" spans="1:5" x14ac:dyDescent="0.25">
      <c r="A81" s="56" t="s">
        <v>3</v>
      </c>
      <c r="B81" s="337" t="s">
        <v>175</v>
      </c>
      <c r="C81" s="337"/>
      <c r="D81" s="337"/>
      <c r="E81" s="46"/>
    </row>
    <row r="82" spans="1:5" x14ac:dyDescent="0.25">
      <c r="A82" s="56" t="s">
        <v>5</v>
      </c>
      <c r="B82" s="337" t="s">
        <v>207</v>
      </c>
      <c r="C82" s="337"/>
      <c r="D82" s="337"/>
      <c r="E82" s="46">
        <v>33.869999999999997</v>
      </c>
    </row>
    <row r="83" spans="1:5" x14ac:dyDescent="0.25">
      <c r="A83" s="335" t="s">
        <v>176</v>
      </c>
      <c r="B83" s="336"/>
      <c r="C83" s="336"/>
      <c r="D83" s="70" t="s">
        <v>123</v>
      </c>
      <c r="E83" s="54">
        <f>SUM(E79:E82)</f>
        <v>102.11</v>
      </c>
    </row>
    <row r="84" spans="1:5" x14ac:dyDescent="0.25">
      <c r="A84" s="364" t="s">
        <v>356</v>
      </c>
      <c r="B84" s="365"/>
      <c r="C84" s="365"/>
      <c r="D84" s="365"/>
      <c r="E84" s="366"/>
    </row>
    <row r="85" spans="1:5" x14ac:dyDescent="0.25">
      <c r="A85" s="344" t="s">
        <v>41</v>
      </c>
      <c r="B85" s="346"/>
      <c r="C85" s="346"/>
      <c r="D85" s="346"/>
      <c r="E85" s="39" t="s">
        <v>8</v>
      </c>
    </row>
    <row r="86" spans="1:5" x14ac:dyDescent="0.25">
      <c r="A86" s="226" t="s">
        <v>0</v>
      </c>
      <c r="B86" s="314" t="s">
        <v>42</v>
      </c>
      <c r="C86" s="314"/>
      <c r="D86" s="314"/>
      <c r="E86" s="46">
        <f>+E21</f>
        <v>182.86</v>
      </c>
    </row>
    <row r="87" spans="1:5" x14ac:dyDescent="0.25">
      <c r="A87" s="226" t="s">
        <v>2</v>
      </c>
      <c r="B87" s="314" t="s">
        <v>178</v>
      </c>
      <c r="C87" s="314"/>
      <c r="D87" s="314"/>
      <c r="E87" s="46">
        <f>E49</f>
        <v>398.62</v>
      </c>
    </row>
    <row r="88" spans="1:5" x14ac:dyDescent="0.25">
      <c r="A88" s="226" t="s">
        <v>3</v>
      </c>
      <c r="B88" s="314" t="s">
        <v>179</v>
      </c>
      <c r="C88" s="314"/>
      <c r="D88" s="314"/>
      <c r="E88" s="46">
        <f>E57</f>
        <v>13.18</v>
      </c>
    </row>
    <row r="89" spans="1:5" x14ac:dyDescent="0.25">
      <c r="A89" s="226" t="s">
        <v>5</v>
      </c>
      <c r="B89" s="314" t="s">
        <v>180</v>
      </c>
      <c r="C89" s="314"/>
      <c r="D89" s="314"/>
      <c r="E89" s="46">
        <f ca="1">E76</f>
        <v>27.64</v>
      </c>
    </row>
    <row r="90" spans="1:5" x14ac:dyDescent="0.25">
      <c r="A90" s="226" t="s">
        <v>17</v>
      </c>
      <c r="B90" s="314" t="s">
        <v>181</v>
      </c>
      <c r="C90" s="314"/>
      <c r="D90" s="314"/>
      <c r="E90" s="46">
        <f>E83</f>
        <v>102.11</v>
      </c>
    </row>
    <row r="91" spans="1:5" x14ac:dyDescent="0.25">
      <c r="A91" s="349"/>
      <c r="B91" s="350"/>
      <c r="C91" s="350"/>
      <c r="D91" s="67"/>
      <c r="E91" s="46"/>
    </row>
    <row r="92" spans="1:5" x14ac:dyDescent="0.25">
      <c r="A92" s="226"/>
      <c r="B92" s="314"/>
      <c r="C92" s="314"/>
      <c r="D92" s="314"/>
      <c r="E92" s="46"/>
    </row>
    <row r="93" spans="1:5" x14ac:dyDescent="0.25">
      <c r="A93" s="347" t="s">
        <v>43</v>
      </c>
      <c r="B93" s="348"/>
      <c r="C93" s="348"/>
      <c r="D93" s="348"/>
      <c r="E93" s="54">
        <f ca="1">E86+E87+E88+E89+E90</f>
        <v>724.41</v>
      </c>
    </row>
  </sheetData>
  <mergeCells count="91">
    <mergeCell ref="C12:E12"/>
    <mergeCell ref="A1:E1"/>
    <mergeCell ref="A2:E2"/>
    <mergeCell ref="C3:E3"/>
    <mergeCell ref="C4:E4"/>
    <mergeCell ref="C5:E5"/>
    <mergeCell ref="C6:E6"/>
    <mergeCell ref="A7:E7"/>
    <mergeCell ref="A8:E8"/>
    <mergeCell ref="A9:E9"/>
    <mergeCell ref="C10:E10"/>
    <mergeCell ref="B11:D11"/>
    <mergeCell ref="A26:C26"/>
    <mergeCell ref="B13:D13"/>
    <mergeCell ref="A14:E14"/>
    <mergeCell ref="B15:D15"/>
    <mergeCell ref="C16:D16"/>
    <mergeCell ref="C18:D18"/>
    <mergeCell ref="B19:D19"/>
    <mergeCell ref="A21:D21"/>
    <mergeCell ref="A22:E22"/>
    <mergeCell ref="B23:D23"/>
    <mergeCell ref="B24:C24"/>
    <mergeCell ref="B25:C25"/>
    <mergeCell ref="B38:D38"/>
    <mergeCell ref="A27:E27"/>
    <mergeCell ref="B28:D28"/>
    <mergeCell ref="B29:C29"/>
    <mergeCell ref="B30:C30"/>
    <mergeCell ref="B31:C31"/>
    <mergeCell ref="B32:C32"/>
    <mergeCell ref="B33:C33"/>
    <mergeCell ref="B34:C34"/>
    <mergeCell ref="B35:C35"/>
    <mergeCell ref="B36:C36"/>
    <mergeCell ref="A37:C37"/>
    <mergeCell ref="A50:E50"/>
    <mergeCell ref="B39:C39"/>
    <mergeCell ref="B40:C40"/>
    <mergeCell ref="B41:C41"/>
    <mergeCell ref="B42:C42"/>
    <mergeCell ref="B43:C43"/>
    <mergeCell ref="A44:D44"/>
    <mergeCell ref="A45:D45"/>
    <mergeCell ref="B46:D46"/>
    <mergeCell ref="B47:D47"/>
    <mergeCell ref="B48:D48"/>
    <mergeCell ref="A49:C49"/>
    <mergeCell ref="B62:C62"/>
    <mergeCell ref="B51:D51"/>
    <mergeCell ref="B52:C52"/>
    <mergeCell ref="B53:C53"/>
    <mergeCell ref="B54:C54"/>
    <mergeCell ref="B55:C55"/>
    <mergeCell ref="B56:C56"/>
    <mergeCell ref="A57:C57"/>
    <mergeCell ref="A58:E58"/>
    <mergeCell ref="B59:D59"/>
    <mergeCell ref="B60:C60"/>
    <mergeCell ref="B61:C61"/>
    <mergeCell ref="B74:C74"/>
    <mergeCell ref="B63:C63"/>
    <mergeCell ref="B64:C64"/>
    <mergeCell ref="B65:C65"/>
    <mergeCell ref="A66:C66"/>
    <mergeCell ref="A67:D67"/>
    <mergeCell ref="B68:D68"/>
    <mergeCell ref="B69:D69"/>
    <mergeCell ref="B70:C70"/>
    <mergeCell ref="A71:C71"/>
    <mergeCell ref="A72:D72"/>
    <mergeCell ref="B73:D73"/>
    <mergeCell ref="A84:E84"/>
    <mergeCell ref="B81:D81"/>
    <mergeCell ref="B82:D82"/>
    <mergeCell ref="A83:C83"/>
    <mergeCell ref="B75:C75"/>
    <mergeCell ref="A76:C76"/>
    <mergeCell ref="A77:E77"/>
    <mergeCell ref="B78:D78"/>
    <mergeCell ref="B79:D79"/>
    <mergeCell ref="B80:D80"/>
    <mergeCell ref="B90:D90"/>
    <mergeCell ref="A91:C91"/>
    <mergeCell ref="B92:D92"/>
    <mergeCell ref="A93:D93"/>
    <mergeCell ref="A85:D85"/>
    <mergeCell ref="B86:D86"/>
    <mergeCell ref="B87:D87"/>
    <mergeCell ref="B88:D88"/>
    <mergeCell ref="B89:D89"/>
  </mergeCells>
  <hyperlinks>
    <hyperlink ref="B36" r:id="rId1" display="08 - Sebrae 0,3% ou 0,6% - IN nº 03, MPS/SRP/2005, Anexo II e III ver código da Tabela"/>
  </hyperlinks>
  <pageMargins left="0.51181102362204722" right="0.51181102362204722" top="0.78740157480314965" bottom="0.78740157480314965" header="0.31496062992125984" footer="0.31496062992125984"/>
  <pageSetup paperSize="9" scale="69" orientation="portrait" r:id="rId2"/>
  <rowBreaks count="1" manualBreakCount="1">
    <brk id="66" max="4" man="1"/>
  </rowBreaks>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J93"/>
  <sheetViews>
    <sheetView topLeftCell="A61" zoomScale="120" zoomScaleNormal="120" workbookViewId="0">
      <selection activeCell="A2" sqref="A2:E2"/>
    </sheetView>
  </sheetViews>
  <sheetFormatPr defaultRowHeight="15" x14ac:dyDescent="0.25"/>
  <cols>
    <col min="1" max="1" width="11.140625" customWidth="1"/>
    <col min="2" max="2" width="47.42578125" customWidth="1"/>
    <col min="3" max="3" width="27.140625" customWidth="1"/>
    <col min="4" max="4" width="22.140625" customWidth="1"/>
    <col min="5" max="5" width="24.42578125" customWidth="1"/>
    <col min="8" max="8" width="12.7109375" bestFit="1" customWidth="1"/>
    <col min="9" max="9" width="15" customWidth="1"/>
    <col min="10" max="10" width="12.28515625" customWidth="1"/>
  </cols>
  <sheetData>
    <row r="1" spans="1:10" ht="21" x14ac:dyDescent="0.25">
      <c r="A1" s="300" t="s">
        <v>246</v>
      </c>
      <c r="B1" s="301"/>
      <c r="C1" s="301"/>
      <c r="D1" s="301"/>
      <c r="E1" s="302"/>
    </row>
    <row r="2" spans="1:10" x14ac:dyDescent="0.25">
      <c r="A2" s="303" t="s">
        <v>182</v>
      </c>
      <c r="B2" s="304"/>
      <c r="C2" s="304"/>
      <c r="D2" s="304"/>
      <c r="E2" s="305"/>
    </row>
    <row r="3" spans="1:10" x14ac:dyDescent="0.25">
      <c r="A3" s="37" t="s">
        <v>0</v>
      </c>
      <c r="B3" s="103" t="s">
        <v>1</v>
      </c>
      <c r="C3" s="306" t="s">
        <v>366</v>
      </c>
      <c r="D3" s="306"/>
      <c r="E3" s="307"/>
    </row>
    <row r="4" spans="1:10" x14ac:dyDescent="0.25">
      <c r="A4" s="37" t="s">
        <v>2</v>
      </c>
      <c r="B4" s="103" t="s">
        <v>125</v>
      </c>
      <c r="C4" s="308" t="s">
        <v>182</v>
      </c>
      <c r="D4" s="308"/>
      <c r="E4" s="309"/>
    </row>
    <row r="5" spans="1:10" ht="25.5" x14ac:dyDescent="0.25">
      <c r="A5" s="37" t="s">
        <v>3</v>
      </c>
      <c r="B5" s="103" t="s">
        <v>4</v>
      </c>
      <c r="C5" s="308" t="s">
        <v>340</v>
      </c>
      <c r="D5" s="308"/>
      <c r="E5" s="309"/>
    </row>
    <row r="6" spans="1:10" x14ac:dyDescent="0.25">
      <c r="A6" s="37" t="s">
        <v>5</v>
      </c>
      <c r="B6" s="103" t="s">
        <v>133</v>
      </c>
      <c r="C6" s="308">
        <v>12</v>
      </c>
      <c r="D6" s="308"/>
      <c r="E6" s="309"/>
    </row>
    <row r="7" spans="1:10" x14ac:dyDescent="0.25">
      <c r="A7" s="358" t="s">
        <v>6</v>
      </c>
      <c r="B7" s="327"/>
      <c r="C7" s="327"/>
      <c r="D7" s="327"/>
      <c r="E7" s="328"/>
    </row>
    <row r="8" spans="1:10" x14ac:dyDescent="0.25">
      <c r="A8" s="324" t="s">
        <v>7</v>
      </c>
      <c r="B8" s="325"/>
      <c r="C8" s="325"/>
      <c r="D8" s="325"/>
      <c r="E8" s="326"/>
    </row>
    <row r="9" spans="1:10" x14ac:dyDescent="0.25">
      <c r="A9" s="324" t="s">
        <v>235</v>
      </c>
      <c r="B9" s="327"/>
      <c r="C9" s="327"/>
      <c r="D9" s="327"/>
      <c r="E9" s="328"/>
    </row>
    <row r="10" spans="1:10" ht="25.5" x14ac:dyDescent="0.25">
      <c r="A10" s="37">
        <v>1</v>
      </c>
      <c r="B10" s="40" t="s">
        <v>124</v>
      </c>
      <c r="C10" s="368" t="s">
        <v>230</v>
      </c>
      <c r="D10" s="368"/>
      <c r="E10" s="368"/>
    </row>
    <row r="11" spans="1:10" x14ac:dyDescent="0.25">
      <c r="A11" s="37">
        <v>2</v>
      </c>
      <c r="B11" s="331" t="s">
        <v>9</v>
      </c>
      <c r="C11" s="331"/>
      <c r="D11" s="331"/>
      <c r="E11" s="198">
        <v>1695.43</v>
      </c>
    </row>
    <row r="12" spans="1:10" x14ac:dyDescent="0.25">
      <c r="A12" s="37">
        <v>3</v>
      </c>
      <c r="B12" s="40" t="s">
        <v>10</v>
      </c>
      <c r="C12" s="329" t="s">
        <v>252</v>
      </c>
      <c r="D12" s="329"/>
      <c r="E12" s="330"/>
    </row>
    <row r="13" spans="1:10" x14ac:dyDescent="0.25">
      <c r="A13" s="37">
        <v>4</v>
      </c>
      <c r="B13" s="310" t="s">
        <v>11</v>
      </c>
      <c r="C13" s="310"/>
      <c r="D13" s="310"/>
      <c r="E13" s="221" t="s">
        <v>341</v>
      </c>
    </row>
    <row r="14" spans="1:10" x14ac:dyDescent="0.25">
      <c r="A14" s="311" t="s">
        <v>12</v>
      </c>
      <c r="B14" s="312"/>
      <c r="C14" s="312"/>
      <c r="D14" s="312"/>
      <c r="E14" s="313"/>
      <c r="I14" s="125"/>
      <c r="J14" s="125"/>
    </row>
    <row r="15" spans="1:10" x14ac:dyDescent="0.25">
      <c r="A15" s="226">
        <v>1</v>
      </c>
      <c r="B15" s="314" t="s">
        <v>13</v>
      </c>
      <c r="C15" s="315"/>
      <c r="D15" s="315"/>
      <c r="E15" s="39" t="s">
        <v>8</v>
      </c>
      <c r="J15" s="125"/>
    </row>
    <row r="16" spans="1:10" ht="27.75" customHeight="1" x14ac:dyDescent="0.25">
      <c r="A16" s="48" t="s">
        <v>0</v>
      </c>
      <c r="B16" s="52" t="s">
        <v>350</v>
      </c>
      <c r="C16" s="367">
        <v>15.21</v>
      </c>
      <c r="D16" s="367"/>
      <c r="E16" s="50">
        <f>(E11/220)*15.21</f>
        <v>117.22</v>
      </c>
    </row>
    <row r="17" spans="1:5" x14ac:dyDescent="0.25">
      <c r="A17" s="48" t="s">
        <v>2</v>
      </c>
      <c r="B17" s="52" t="s">
        <v>351</v>
      </c>
      <c r="C17" s="225"/>
      <c r="D17" s="107"/>
      <c r="E17" s="199">
        <f>(E16+E18)/25*5</f>
        <v>29.3</v>
      </c>
    </row>
    <row r="18" spans="1:5" ht="17.25" customHeight="1" x14ac:dyDescent="0.25">
      <c r="A18" s="48" t="s">
        <v>3</v>
      </c>
      <c r="B18" s="49" t="s">
        <v>16</v>
      </c>
      <c r="C18" s="317">
        <v>0.25</v>
      </c>
      <c r="D18" s="318"/>
      <c r="E18" s="199">
        <f>(E11/220)*(C16*C18)</f>
        <v>29.3</v>
      </c>
    </row>
    <row r="19" spans="1:5" ht="14.25" customHeight="1" x14ac:dyDescent="0.25">
      <c r="A19" s="48" t="s">
        <v>123</v>
      </c>
      <c r="B19" s="319" t="s">
        <v>210</v>
      </c>
      <c r="C19" s="320"/>
      <c r="D19" s="320"/>
      <c r="E19" s="51">
        <f>SUM(E16:E18)</f>
        <v>175.82</v>
      </c>
    </row>
    <row r="20" spans="1:5" ht="19.5" customHeight="1" x14ac:dyDescent="0.25">
      <c r="A20" s="48" t="s">
        <v>5</v>
      </c>
      <c r="B20" s="49" t="s">
        <v>15</v>
      </c>
      <c r="C20" s="110">
        <v>0.3</v>
      </c>
      <c r="D20" s="111"/>
      <c r="E20" s="199">
        <f>E19*C20</f>
        <v>52.75</v>
      </c>
    </row>
    <row r="21" spans="1:5" x14ac:dyDescent="0.25">
      <c r="A21" s="335" t="s">
        <v>20</v>
      </c>
      <c r="B21" s="336"/>
      <c r="C21" s="336"/>
      <c r="D21" s="336"/>
      <c r="E21" s="54">
        <f>SUM(E19:E20)</f>
        <v>228.57</v>
      </c>
    </row>
    <row r="22" spans="1:5" x14ac:dyDescent="0.25">
      <c r="A22" s="311" t="s">
        <v>45</v>
      </c>
      <c r="B22" s="312"/>
      <c r="C22" s="312"/>
      <c r="D22" s="312"/>
      <c r="E22" s="313"/>
    </row>
    <row r="23" spans="1:5" x14ac:dyDescent="0.25">
      <c r="A23" s="226" t="s">
        <v>134</v>
      </c>
      <c r="B23" s="314" t="s">
        <v>135</v>
      </c>
      <c r="C23" s="315"/>
      <c r="D23" s="315"/>
      <c r="E23" s="39" t="s">
        <v>8</v>
      </c>
    </row>
    <row r="24" spans="1:5" x14ac:dyDescent="0.25">
      <c r="A24" s="56" t="s">
        <v>0</v>
      </c>
      <c r="B24" s="337" t="s">
        <v>27</v>
      </c>
      <c r="C24" s="337"/>
      <c r="D24" s="58">
        <f>1/12</f>
        <v>8.3299999999999999E-2</v>
      </c>
      <c r="E24" s="46">
        <f>ROUND(+$E$21*D24,2)</f>
        <v>19.04</v>
      </c>
    </row>
    <row r="25" spans="1:5" x14ac:dyDescent="0.25">
      <c r="A25" s="56" t="s">
        <v>2</v>
      </c>
      <c r="B25" s="337" t="s">
        <v>136</v>
      </c>
      <c r="C25" s="337"/>
      <c r="D25" s="58">
        <v>0.1111</v>
      </c>
      <c r="E25" s="46">
        <f>ROUND(+$E$21*D25,2)</f>
        <v>25.39</v>
      </c>
    </row>
    <row r="26" spans="1:5" x14ac:dyDescent="0.25">
      <c r="A26" s="335" t="s">
        <v>25</v>
      </c>
      <c r="B26" s="336"/>
      <c r="C26" s="338"/>
      <c r="D26" s="59">
        <f>SUM(D24:D25)</f>
        <v>0.19439999999999999</v>
      </c>
      <c r="E26" s="54">
        <f>SUM(E24:E25)</f>
        <v>44.43</v>
      </c>
    </row>
    <row r="27" spans="1:5" ht="29.25" customHeight="1" x14ac:dyDescent="0.25">
      <c r="A27" s="332" t="s">
        <v>137</v>
      </c>
      <c r="B27" s="333"/>
      <c r="C27" s="333"/>
      <c r="D27" s="333"/>
      <c r="E27" s="334"/>
    </row>
    <row r="28" spans="1:5" x14ac:dyDescent="0.25">
      <c r="A28" s="226" t="s">
        <v>138</v>
      </c>
      <c r="B28" s="314" t="s">
        <v>23</v>
      </c>
      <c r="C28" s="315"/>
      <c r="D28" s="315"/>
      <c r="E28" s="39" t="s">
        <v>8</v>
      </c>
    </row>
    <row r="29" spans="1:5" x14ac:dyDescent="0.25">
      <c r="A29" s="56" t="s">
        <v>0</v>
      </c>
      <c r="B29" s="310" t="s">
        <v>139</v>
      </c>
      <c r="C29" s="310"/>
      <c r="D29" s="58">
        <v>0.2</v>
      </c>
      <c r="E29" s="46">
        <f>(E21+E26)*D29</f>
        <v>54.6</v>
      </c>
    </row>
    <row r="30" spans="1:5" x14ac:dyDescent="0.25">
      <c r="A30" s="56" t="s">
        <v>2</v>
      </c>
      <c r="B30" s="310" t="s">
        <v>140</v>
      </c>
      <c r="C30" s="310"/>
      <c r="D30" s="58">
        <v>1.4999999999999999E-2</v>
      </c>
      <c r="E30" s="46">
        <f>(E21+E26)*D30</f>
        <v>4.0999999999999996</v>
      </c>
    </row>
    <row r="31" spans="1:5" x14ac:dyDescent="0.25">
      <c r="A31" s="56" t="s">
        <v>3</v>
      </c>
      <c r="B31" s="310" t="s">
        <v>240</v>
      </c>
      <c r="C31" s="310"/>
      <c r="D31" s="58">
        <v>0.01</v>
      </c>
      <c r="E31" s="46">
        <f>(E21+E26)*D31</f>
        <v>2.73</v>
      </c>
    </row>
    <row r="32" spans="1:5" x14ac:dyDescent="0.25">
      <c r="A32" s="56" t="s">
        <v>5</v>
      </c>
      <c r="B32" s="310" t="s">
        <v>142</v>
      </c>
      <c r="C32" s="310"/>
      <c r="D32" s="58">
        <v>2E-3</v>
      </c>
      <c r="E32" s="46">
        <f>(E21+E26)*D32</f>
        <v>0.55000000000000004</v>
      </c>
    </row>
    <row r="33" spans="1:9" x14ac:dyDescent="0.25">
      <c r="A33" s="56" t="s">
        <v>17</v>
      </c>
      <c r="B33" s="310" t="s">
        <v>241</v>
      </c>
      <c r="C33" s="310"/>
      <c r="D33" s="58">
        <v>2.5000000000000001E-2</v>
      </c>
      <c r="E33" s="46">
        <f>(E21+E26)*D33</f>
        <v>6.83</v>
      </c>
    </row>
    <row r="34" spans="1:9" x14ac:dyDescent="0.25">
      <c r="A34" s="56" t="s">
        <v>18</v>
      </c>
      <c r="B34" s="310" t="s">
        <v>144</v>
      </c>
      <c r="C34" s="310"/>
      <c r="D34" s="58">
        <v>0.08</v>
      </c>
      <c r="E34" s="46">
        <f>(E21+E26)*D34</f>
        <v>21.84</v>
      </c>
    </row>
    <row r="35" spans="1:9" x14ac:dyDescent="0.25">
      <c r="A35" s="56" t="s">
        <v>19</v>
      </c>
      <c r="B35" s="310" t="s">
        <v>145</v>
      </c>
      <c r="C35" s="310"/>
      <c r="D35" s="58">
        <v>0.06</v>
      </c>
      <c r="E35" s="46">
        <f>(E21+E26)*D35</f>
        <v>16.38</v>
      </c>
    </row>
    <row r="36" spans="1:9" x14ac:dyDescent="0.25">
      <c r="A36" s="63" t="s">
        <v>24</v>
      </c>
      <c r="B36" s="339" t="s">
        <v>146</v>
      </c>
      <c r="C36" s="339"/>
      <c r="D36" s="66">
        <v>6.0000000000000001E-3</v>
      </c>
      <c r="E36" s="55">
        <f>(E21+E26)*D36</f>
        <v>1.64</v>
      </c>
    </row>
    <row r="37" spans="1:9" x14ac:dyDescent="0.25">
      <c r="A37" s="335" t="s">
        <v>25</v>
      </c>
      <c r="B37" s="336"/>
      <c r="C37" s="338"/>
      <c r="D37" s="59">
        <f>SUM(D29:D36)</f>
        <v>0.39800000000000002</v>
      </c>
      <c r="E37" s="54">
        <f>SUM(E29:E36)</f>
        <v>108.67</v>
      </c>
    </row>
    <row r="38" spans="1:9" x14ac:dyDescent="0.25">
      <c r="A38" s="226" t="s">
        <v>147</v>
      </c>
      <c r="B38" s="314" t="s">
        <v>148</v>
      </c>
      <c r="C38" s="315"/>
      <c r="D38" s="315"/>
      <c r="E38" s="39" t="s">
        <v>8</v>
      </c>
    </row>
    <row r="39" spans="1:9" ht="15" customHeight="1" x14ac:dyDescent="0.25">
      <c r="A39" s="56" t="s">
        <v>0</v>
      </c>
      <c r="B39" s="337" t="s">
        <v>352</v>
      </c>
      <c r="C39" s="337"/>
      <c r="D39" s="98">
        <v>6</v>
      </c>
      <c r="E39" s="200">
        <f>(D39*30.42)-(E16*0.06)</f>
        <v>175.49</v>
      </c>
      <c r="I39" s="125"/>
    </row>
    <row r="40" spans="1:9" ht="24" customHeight="1" x14ac:dyDescent="0.25">
      <c r="A40" s="56" t="s">
        <v>2</v>
      </c>
      <c r="B40" s="337" t="s">
        <v>353</v>
      </c>
      <c r="C40" s="337"/>
      <c r="D40" s="89">
        <v>3.42</v>
      </c>
      <c r="E40" s="50">
        <f>(D40*C16)-(D40*C16*1%)</f>
        <v>51.5</v>
      </c>
      <c r="I40" s="125"/>
    </row>
    <row r="41" spans="1:9" ht="15" customHeight="1" x14ac:dyDescent="0.25">
      <c r="A41" s="56" t="s">
        <v>3</v>
      </c>
      <c r="B41" s="337" t="s">
        <v>354</v>
      </c>
      <c r="C41" s="337"/>
      <c r="D41" s="92"/>
      <c r="E41" s="50">
        <f>((E11*16%) -(E11*1%))/12</f>
        <v>21.19</v>
      </c>
    </row>
    <row r="42" spans="1:9" ht="15" customHeight="1" x14ac:dyDescent="0.25">
      <c r="A42" s="56" t="s">
        <v>5</v>
      </c>
      <c r="B42" s="337" t="s">
        <v>345</v>
      </c>
      <c r="C42" s="337"/>
      <c r="D42" s="85">
        <v>14.16</v>
      </c>
      <c r="E42" s="200">
        <f>D42</f>
        <v>14.16</v>
      </c>
      <c r="H42" s="125"/>
    </row>
    <row r="43" spans="1:9" ht="15" customHeight="1" x14ac:dyDescent="0.25">
      <c r="A43" s="56" t="s">
        <v>17</v>
      </c>
      <c r="B43" s="337" t="s">
        <v>346</v>
      </c>
      <c r="C43" s="337"/>
      <c r="D43" s="85"/>
      <c r="E43" s="200">
        <v>13.81</v>
      </c>
      <c r="H43" s="125"/>
    </row>
    <row r="44" spans="1:9" ht="15.6" customHeight="1" x14ac:dyDescent="0.25">
      <c r="A44" s="335" t="s">
        <v>21</v>
      </c>
      <c r="B44" s="336"/>
      <c r="C44" s="336"/>
      <c r="D44" s="336"/>
      <c r="E44" s="54">
        <f>SUM(E39:E43)</f>
        <v>276.14999999999998</v>
      </c>
      <c r="H44" s="125"/>
    </row>
    <row r="45" spans="1:9" x14ac:dyDescent="0.25">
      <c r="A45" s="311" t="s">
        <v>150</v>
      </c>
      <c r="B45" s="312"/>
      <c r="C45" s="312"/>
      <c r="D45" s="312"/>
      <c r="E45" s="46"/>
      <c r="H45" s="125"/>
    </row>
    <row r="46" spans="1:9" x14ac:dyDescent="0.25">
      <c r="A46" s="226" t="s">
        <v>134</v>
      </c>
      <c r="B46" s="314" t="s">
        <v>151</v>
      </c>
      <c r="C46" s="315"/>
      <c r="D46" s="315"/>
      <c r="E46" s="47">
        <f>E26</f>
        <v>44.43</v>
      </c>
      <c r="H46" s="125"/>
    </row>
    <row r="47" spans="1:9" x14ac:dyDescent="0.25">
      <c r="A47" s="226" t="s">
        <v>138</v>
      </c>
      <c r="B47" s="337" t="s">
        <v>250</v>
      </c>
      <c r="C47" s="337"/>
      <c r="D47" s="337"/>
      <c r="E47" s="46">
        <f>E37</f>
        <v>108.67</v>
      </c>
    </row>
    <row r="48" spans="1:9" x14ac:dyDescent="0.25">
      <c r="A48" s="226" t="s">
        <v>147</v>
      </c>
      <c r="B48" s="337" t="s">
        <v>153</v>
      </c>
      <c r="C48" s="337"/>
      <c r="D48" s="337"/>
      <c r="E48" s="46">
        <f>E44</f>
        <v>276.14999999999998</v>
      </c>
    </row>
    <row r="49" spans="1:6" x14ac:dyDescent="0.25">
      <c r="A49" s="335" t="s">
        <v>25</v>
      </c>
      <c r="B49" s="336"/>
      <c r="C49" s="338"/>
      <c r="D49" s="68" t="s">
        <v>123</v>
      </c>
      <c r="E49" s="54">
        <f>SUM(E46:E48)</f>
        <v>429.25</v>
      </c>
    </row>
    <row r="50" spans="1:6" x14ac:dyDescent="0.25">
      <c r="A50" s="311" t="s">
        <v>154</v>
      </c>
      <c r="B50" s="312"/>
      <c r="C50" s="312"/>
      <c r="D50" s="312"/>
      <c r="E50" s="313"/>
    </row>
    <row r="51" spans="1:6" x14ac:dyDescent="0.25">
      <c r="A51" s="226" t="s">
        <v>155</v>
      </c>
      <c r="B51" s="314" t="s">
        <v>28</v>
      </c>
      <c r="C51" s="315"/>
      <c r="D51" s="315"/>
      <c r="E51" s="39" t="s">
        <v>8</v>
      </c>
    </row>
    <row r="52" spans="1:6" x14ac:dyDescent="0.25">
      <c r="A52" s="56" t="s">
        <v>0</v>
      </c>
      <c r="B52" s="337" t="s">
        <v>156</v>
      </c>
      <c r="C52" s="337"/>
      <c r="D52" s="58">
        <v>4.5999999999999999E-3</v>
      </c>
      <c r="E52" s="46">
        <f t="shared" ref="E52:E55" si="0">ROUND(+D52*$E$21,2)</f>
        <v>1.05</v>
      </c>
    </row>
    <row r="53" spans="1:6" x14ac:dyDescent="0.25">
      <c r="A53" s="56" t="s">
        <v>2</v>
      </c>
      <c r="B53" s="337" t="s">
        <v>157</v>
      </c>
      <c r="C53" s="337"/>
      <c r="D53" s="58">
        <f>D34*D52</f>
        <v>4.0000000000000002E-4</v>
      </c>
      <c r="E53" s="46">
        <f t="shared" si="0"/>
        <v>0.09</v>
      </c>
    </row>
    <row r="54" spans="1:6" x14ac:dyDescent="0.25">
      <c r="A54" s="56" t="s">
        <v>3</v>
      </c>
      <c r="B54" s="310" t="s">
        <v>29</v>
      </c>
      <c r="C54" s="310"/>
      <c r="D54" s="58">
        <v>1.9400000000000001E-2</v>
      </c>
      <c r="E54" s="46">
        <f t="shared" si="0"/>
        <v>4.43</v>
      </c>
    </row>
    <row r="55" spans="1:6" x14ac:dyDescent="0.25">
      <c r="A55" s="56" t="s">
        <v>5</v>
      </c>
      <c r="B55" s="337" t="s">
        <v>158</v>
      </c>
      <c r="C55" s="337"/>
      <c r="D55" s="58">
        <f>D37*D54</f>
        <v>7.7000000000000002E-3</v>
      </c>
      <c r="E55" s="46">
        <f t="shared" si="0"/>
        <v>1.76</v>
      </c>
    </row>
    <row r="56" spans="1:6" ht="33" customHeight="1" x14ac:dyDescent="0.25">
      <c r="A56" s="56" t="s">
        <v>17</v>
      </c>
      <c r="B56" s="337" t="s">
        <v>211</v>
      </c>
      <c r="C56" s="337"/>
      <c r="D56" s="58">
        <f>4%</f>
        <v>0.04</v>
      </c>
      <c r="E56" s="46">
        <f>ROUND(+D56*$E$21,2)</f>
        <v>9.14</v>
      </c>
    </row>
    <row r="57" spans="1:6" x14ac:dyDescent="0.25">
      <c r="A57" s="335" t="s">
        <v>25</v>
      </c>
      <c r="B57" s="336"/>
      <c r="C57" s="336"/>
      <c r="D57" s="70">
        <f>SUM(D52:D56)</f>
        <v>7.2099999999999997E-2</v>
      </c>
      <c r="E57" s="54">
        <f>SUM(E52:E56)</f>
        <v>16.47</v>
      </c>
    </row>
    <row r="58" spans="1:6" x14ac:dyDescent="0.25">
      <c r="A58" s="311" t="s">
        <v>159</v>
      </c>
      <c r="B58" s="312"/>
      <c r="C58" s="312"/>
      <c r="D58" s="312"/>
      <c r="E58" s="313"/>
    </row>
    <row r="59" spans="1:6" x14ac:dyDescent="0.25">
      <c r="A59" s="226" t="s">
        <v>22</v>
      </c>
      <c r="B59" s="312" t="s">
        <v>160</v>
      </c>
      <c r="C59" s="312"/>
      <c r="D59" s="312"/>
      <c r="E59" s="39" t="s">
        <v>8</v>
      </c>
    </row>
    <row r="60" spans="1:6" x14ac:dyDescent="0.25">
      <c r="A60" s="56" t="s">
        <v>0</v>
      </c>
      <c r="B60" s="337" t="s">
        <v>161</v>
      </c>
      <c r="C60" s="337"/>
      <c r="D60" s="58">
        <f>((1+1/3)/12)/12</f>
        <v>9.2999999999999992E-3</v>
      </c>
      <c r="E60" s="46">
        <f>(E21+E49+E57+E79)*D60</f>
        <v>6.91</v>
      </c>
    </row>
    <row r="61" spans="1:6" x14ac:dyDescent="0.25">
      <c r="A61" s="56" t="s">
        <v>2</v>
      </c>
      <c r="B61" s="337" t="s">
        <v>162</v>
      </c>
      <c r="C61" s="337"/>
      <c r="D61" s="58">
        <v>1.66E-2</v>
      </c>
      <c r="E61" s="46">
        <f>(E21+E49+E57+E79)*D61</f>
        <v>12.33</v>
      </c>
      <c r="F61" t="s">
        <v>222</v>
      </c>
    </row>
    <row r="62" spans="1:6" x14ac:dyDescent="0.25">
      <c r="A62" s="56" t="s">
        <v>3</v>
      </c>
      <c r="B62" s="337" t="s">
        <v>163</v>
      </c>
      <c r="C62" s="337"/>
      <c r="D62" s="58">
        <f>(5/30)*(1/12)*6.24%*95.04%</f>
        <v>8.0000000000000004E-4</v>
      </c>
      <c r="E62" s="46">
        <f>(E21+E49+E57+E79)*D62</f>
        <v>0.59</v>
      </c>
      <c r="F62" t="s">
        <v>223</v>
      </c>
    </row>
    <row r="63" spans="1:6" x14ac:dyDescent="0.25">
      <c r="A63" s="56" t="s">
        <v>5</v>
      </c>
      <c r="B63" s="337" t="s">
        <v>164</v>
      </c>
      <c r="C63" s="337"/>
      <c r="D63" s="58">
        <f>(1/30)*(1/12)</f>
        <v>2.8E-3</v>
      </c>
      <c r="E63" s="46">
        <f>(E21+E49+E57+E79)*D63</f>
        <v>2.08</v>
      </c>
      <c r="F63" t="s">
        <v>224</v>
      </c>
    </row>
    <row r="64" spans="1:6" x14ac:dyDescent="0.25">
      <c r="A64" s="56" t="s">
        <v>17</v>
      </c>
      <c r="B64" s="337" t="s">
        <v>165</v>
      </c>
      <c r="C64" s="337"/>
      <c r="D64" s="58">
        <f>(0.91/30)*(1/12)</f>
        <v>2.5000000000000001E-3</v>
      </c>
      <c r="E64" s="46">
        <f>(E21+E49+E57+E79)*D64</f>
        <v>1.86</v>
      </c>
      <c r="F64" t="s">
        <v>225</v>
      </c>
    </row>
    <row r="65" spans="1:7" x14ac:dyDescent="0.25">
      <c r="A65" s="56" t="s">
        <v>18</v>
      </c>
      <c r="B65" s="340" t="s">
        <v>244</v>
      </c>
      <c r="C65" s="340"/>
      <c r="D65" s="117">
        <f>(7/30)*(1/24)</f>
        <v>9.7000000000000003E-3</v>
      </c>
      <c r="E65" s="46">
        <f>(E21+E49+E57+E79)*D65</f>
        <v>7.2</v>
      </c>
      <c r="F65" s="94" t="s">
        <v>226</v>
      </c>
    </row>
    <row r="66" spans="1:7" x14ac:dyDescent="0.25">
      <c r="A66" s="335" t="s">
        <v>166</v>
      </c>
      <c r="B66" s="336"/>
      <c r="C66" s="336"/>
      <c r="D66" s="70">
        <f>SUM(D60:D65)</f>
        <v>4.1700000000000001E-2</v>
      </c>
      <c r="E66" s="54">
        <f>SUM(E60:E65)</f>
        <v>30.97</v>
      </c>
    </row>
    <row r="67" spans="1:7" x14ac:dyDescent="0.25">
      <c r="A67" s="311"/>
      <c r="B67" s="312"/>
      <c r="C67" s="312"/>
      <c r="D67" s="312"/>
      <c r="E67" s="46"/>
    </row>
    <row r="68" spans="1:7" x14ac:dyDescent="0.25">
      <c r="A68" s="226" t="s">
        <v>123</v>
      </c>
      <c r="B68" s="314" t="s">
        <v>167</v>
      </c>
      <c r="C68" s="315"/>
      <c r="D68" s="315"/>
      <c r="E68" s="39" t="s">
        <v>8</v>
      </c>
    </row>
    <row r="69" spans="1:7" x14ac:dyDescent="0.25">
      <c r="A69" s="56" t="s">
        <v>0</v>
      </c>
      <c r="B69" s="337"/>
      <c r="C69" s="337"/>
      <c r="D69" s="337"/>
      <c r="E69" s="46">
        <v>0</v>
      </c>
      <c r="G69" s="87"/>
    </row>
    <row r="70" spans="1:7" ht="23.25" customHeight="1" x14ac:dyDescent="0.25">
      <c r="A70" s="56" t="s">
        <v>2</v>
      </c>
      <c r="B70" s="341"/>
      <c r="C70" s="342"/>
      <c r="D70" s="219"/>
      <c r="E70" s="46">
        <f>E69*D70</f>
        <v>0</v>
      </c>
      <c r="G70" s="87"/>
    </row>
    <row r="71" spans="1:7" ht="18" customHeight="1" x14ac:dyDescent="0.25">
      <c r="A71" s="335" t="s">
        <v>25</v>
      </c>
      <c r="B71" s="336"/>
      <c r="C71" s="336"/>
      <c r="D71" s="59"/>
      <c r="E71" s="54">
        <f>SUM(E69:E70)</f>
        <v>0</v>
      </c>
    </row>
    <row r="72" spans="1:7" x14ac:dyDescent="0.25">
      <c r="A72" s="311" t="s">
        <v>169</v>
      </c>
      <c r="B72" s="312"/>
      <c r="C72" s="312"/>
      <c r="D72" s="312"/>
      <c r="E72" s="46"/>
    </row>
    <row r="73" spans="1:7" x14ac:dyDescent="0.25">
      <c r="A73" s="226">
        <v>4</v>
      </c>
      <c r="B73" s="314" t="s">
        <v>30</v>
      </c>
      <c r="C73" s="315"/>
      <c r="D73" s="315"/>
      <c r="E73" s="39" t="s">
        <v>8</v>
      </c>
    </row>
    <row r="74" spans="1:7" x14ac:dyDescent="0.25">
      <c r="A74" s="56" t="s">
        <v>22</v>
      </c>
      <c r="B74" s="337" t="s">
        <v>160</v>
      </c>
      <c r="C74" s="337"/>
      <c r="D74" s="58">
        <f>D66</f>
        <v>4.1700000000000001E-2</v>
      </c>
      <c r="E74" s="46">
        <f>E66</f>
        <v>30.97</v>
      </c>
    </row>
    <row r="75" spans="1:7" x14ac:dyDescent="0.25">
      <c r="A75" s="56" t="s">
        <v>26</v>
      </c>
      <c r="B75" s="337" t="s">
        <v>167</v>
      </c>
      <c r="C75" s="337"/>
      <c r="D75" s="58"/>
      <c r="E75" s="46">
        <f>E71</f>
        <v>0</v>
      </c>
    </row>
    <row r="76" spans="1:7" x14ac:dyDescent="0.25">
      <c r="A76" s="335" t="s">
        <v>170</v>
      </c>
      <c r="B76" s="336"/>
      <c r="C76" s="336"/>
      <c r="D76" s="70">
        <f>SUM(D71:D75)</f>
        <v>4.1700000000000001E-2</v>
      </c>
      <c r="E76" s="54">
        <f>SUM(E74+E75)</f>
        <v>30.97</v>
      </c>
    </row>
    <row r="77" spans="1:7" x14ac:dyDescent="0.25">
      <c r="A77" s="311" t="s">
        <v>171</v>
      </c>
      <c r="B77" s="312"/>
      <c r="C77" s="312"/>
      <c r="D77" s="312"/>
      <c r="E77" s="313"/>
    </row>
    <row r="78" spans="1:7" x14ac:dyDescent="0.25">
      <c r="A78" s="226">
        <v>5</v>
      </c>
      <c r="B78" s="314" t="s">
        <v>172</v>
      </c>
      <c r="C78" s="315"/>
      <c r="D78" s="315"/>
      <c r="E78" s="39" t="s">
        <v>8</v>
      </c>
    </row>
    <row r="79" spans="1:7" x14ac:dyDescent="0.25">
      <c r="A79" s="56" t="s">
        <v>0</v>
      </c>
      <c r="B79" s="337" t="s">
        <v>173</v>
      </c>
      <c r="C79" s="337"/>
      <c r="D79" s="337"/>
      <c r="E79" s="46">
        <f>'Mat. Unif.-LOTE I'!I13</f>
        <v>68.239999999999995</v>
      </c>
    </row>
    <row r="80" spans="1:7" x14ac:dyDescent="0.25">
      <c r="A80" s="56" t="s">
        <v>2</v>
      </c>
      <c r="B80" s="337" t="s">
        <v>174</v>
      </c>
      <c r="C80" s="337"/>
      <c r="D80" s="337"/>
      <c r="E80" s="46"/>
    </row>
    <row r="81" spans="1:5" x14ac:dyDescent="0.25">
      <c r="A81" s="56" t="s">
        <v>3</v>
      </c>
      <c r="B81" s="337" t="s">
        <v>175</v>
      </c>
      <c r="C81" s="337"/>
      <c r="D81" s="337"/>
      <c r="E81" s="46"/>
    </row>
    <row r="82" spans="1:5" x14ac:dyDescent="0.25">
      <c r="A82" s="56" t="s">
        <v>5</v>
      </c>
      <c r="B82" s="337" t="s">
        <v>207</v>
      </c>
      <c r="C82" s="337"/>
      <c r="D82" s="337"/>
      <c r="E82" s="46">
        <v>33.869999999999997</v>
      </c>
    </row>
    <row r="83" spans="1:5" x14ac:dyDescent="0.25">
      <c r="A83" s="335" t="s">
        <v>176</v>
      </c>
      <c r="B83" s="336"/>
      <c r="C83" s="336"/>
      <c r="D83" s="70" t="s">
        <v>123</v>
      </c>
      <c r="E83" s="54">
        <f>SUM(E79:E82)</f>
        <v>102.11</v>
      </c>
    </row>
    <row r="84" spans="1:5" x14ac:dyDescent="0.25">
      <c r="A84" s="364" t="s">
        <v>356</v>
      </c>
      <c r="B84" s="365"/>
      <c r="C84" s="365"/>
      <c r="D84" s="365"/>
      <c r="E84" s="366"/>
    </row>
    <row r="85" spans="1:5" x14ac:dyDescent="0.25">
      <c r="A85" s="344" t="s">
        <v>41</v>
      </c>
      <c r="B85" s="346"/>
      <c r="C85" s="346"/>
      <c r="D85" s="346"/>
      <c r="E85" s="39" t="s">
        <v>8</v>
      </c>
    </row>
    <row r="86" spans="1:5" x14ac:dyDescent="0.25">
      <c r="A86" s="226" t="s">
        <v>0</v>
      </c>
      <c r="B86" s="314" t="s">
        <v>42</v>
      </c>
      <c r="C86" s="314"/>
      <c r="D86" s="314"/>
      <c r="E86" s="46">
        <f>+E21</f>
        <v>228.57</v>
      </c>
    </row>
    <row r="87" spans="1:5" x14ac:dyDescent="0.25">
      <c r="A87" s="226" t="s">
        <v>2</v>
      </c>
      <c r="B87" s="314" t="s">
        <v>178</v>
      </c>
      <c r="C87" s="314"/>
      <c r="D87" s="314"/>
      <c r="E87" s="46">
        <f>E49</f>
        <v>429.25</v>
      </c>
    </row>
    <row r="88" spans="1:5" x14ac:dyDescent="0.25">
      <c r="A88" s="226" t="s">
        <v>3</v>
      </c>
      <c r="B88" s="314" t="s">
        <v>179</v>
      </c>
      <c r="C88" s="314"/>
      <c r="D88" s="314"/>
      <c r="E88" s="46">
        <f>E57</f>
        <v>16.47</v>
      </c>
    </row>
    <row r="89" spans="1:5" x14ac:dyDescent="0.25">
      <c r="A89" s="226" t="s">
        <v>5</v>
      </c>
      <c r="B89" s="314" t="s">
        <v>180</v>
      </c>
      <c r="C89" s="314"/>
      <c r="D89" s="314"/>
      <c r="E89" s="46">
        <f>E76</f>
        <v>30.97</v>
      </c>
    </row>
    <row r="90" spans="1:5" x14ac:dyDescent="0.25">
      <c r="A90" s="226" t="s">
        <v>17</v>
      </c>
      <c r="B90" s="314" t="s">
        <v>181</v>
      </c>
      <c r="C90" s="314"/>
      <c r="D90" s="314"/>
      <c r="E90" s="46">
        <f>E83</f>
        <v>102.11</v>
      </c>
    </row>
    <row r="91" spans="1:5" x14ac:dyDescent="0.25">
      <c r="A91" s="349"/>
      <c r="B91" s="350"/>
      <c r="C91" s="350"/>
      <c r="D91" s="67"/>
      <c r="E91" s="46"/>
    </row>
    <row r="92" spans="1:5" x14ac:dyDescent="0.25">
      <c r="A92" s="226"/>
      <c r="B92" s="314"/>
      <c r="C92" s="314"/>
      <c r="D92" s="314"/>
      <c r="E92" s="46"/>
    </row>
    <row r="93" spans="1:5" x14ac:dyDescent="0.25">
      <c r="A93" s="347" t="s">
        <v>43</v>
      </c>
      <c r="B93" s="348"/>
      <c r="C93" s="348"/>
      <c r="D93" s="348"/>
      <c r="E93" s="54">
        <f>E86+E87+E88+E89+E90</f>
        <v>807.37</v>
      </c>
    </row>
  </sheetData>
  <mergeCells count="91">
    <mergeCell ref="C12:E12"/>
    <mergeCell ref="A1:E1"/>
    <mergeCell ref="A2:E2"/>
    <mergeCell ref="C3:E3"/>
    <mergeCell ref="C4:E4"/>
    <mergeCell ref="C5:E5"/>
    <mergeCell ref="C6:E6"/>
    <mergeCell ref="A7:E7"/>
    <mergeCell ref="A8:E8"/>
    <mergeCell ref="A9:E9"/>
    <mergeCell ref="C10:E10"/>
    <mergeCell ref="B11:D11"/>
    <mergeCell ref="A26:C26"/>
    <mergeCell ref="B13:D13"/>
    <mergeCell ref="A14:E14"/>
    <mergeCell ref="B15:D15"/>
    <mergeCell ref="C16:D16"/>
    <mergeCell ref="C18:D18"/>
    <mergeCell ref="B19:D19"/>
    <mergeCell ref="A21:D21"/>
    <mergeCell ref="A22:E22"/>
    <mergeCell ref="B23:D23"/>
    <mergeCell ref="B24:C24"/>
    <mergeCell ref="B25:C25"/>
    <mergeCell ref="B38:D38"/>
    <mergeCell ref="A27:E27"/>
    <mergeCell ref="B28:D28"/>
    <mergeCell ref="B29:C29"/>
    <mergeCell ref="B30:C30"/>
    <mergeCell ref="B31:C31"/>
    <mergeCell ref="B32:C32"/>
    <mergeCell ref="B33:C33"/>
    <mergeCell ref="B34:C34"/>
    <mergeCell ref="B35:C35"/>
    <mergeCell ref="B36:C36"/>
    <mergeCell ref="A37:C37"/>
    <mergeCell ref="A50:E50"/>
    <mergeCell ref="B39:C39"/>
    <mergeCell ref="B40:C40"/>
    <mergeCell ref="B41:C41"/>
    <mergeCell ref="B42:C42"/>
    <mergeCell ref="B43:C43"/>
    <mergeCell ref="A44:D44"/>
    <mergeCell ref="A45:D45"/>
    <mergeCell ref="B46:D46"/>
    <mergeCell ref="B47:D47"/>
    <mergeCell ref="B48:D48"/>
    <mergeCell ref="A49:C49"/>
    <mergeCell ref="B62:C62"/>
    <mergeCell ref="B51:D51"/>
    <mergeCell ref="B52:C52"/>
    <mergeCell ref="B53:C53"/>
    <mergeCell ref="B54:C54"/>
    <mergeCell ref="B55:C55"/>
    <mergeCell ref="B56:C56"/>
    <mergeCell ref="A57:C57"/>
    <mergeCell ref="A58:E58"/>
    <mergeCell ref="B59:D59"/>
    <mergeCell ref="B60:C60"/>
    <mergeCell ref="B61:C61"/>
    <mergeCell ref="B74:C74"/>
    <mergeCell ref="B63:C63"/>
    <mergeCell ref="B64:C64"/>
    <mergeCell ref="B65:C65"/>
    <mergeCell ref="A66:C66"/>
    <mergeCell ref="A67:D67"/>
    <mergeCell ref="B68:D68"/>
    <mergeCell ref="B69:D69"/>
    <mergeCell ref="B70:C70"/>
    <mergeCell ref="A71:C71"/>
    <mergeCell ref="A72:D72"/>
    <mergeCell ref="B73:D73"/>
    <mergeCell ref="B86:D86"/>
    <mergeCell ref="B75:C75"/>
    <mergeCell ref="A76:C76"/>
    <mergeCell ref="A77:E77"/>
    <mergeCell ref="B78:D78"/>
    <mergeCell ref="B79:D79"/>
    <mergeCell ref="B80:D80"/>
    <mergeCell ref="B81:D81"/>
    <mergeCell ref="B82:D82"/>
    <mergeCell ref="A83:C83"/>
    <mergeCell ref="A84:E84"/>
    <mergeCell ref="A85:D85"/>
    <mergeCell ref="A93:D93"/>
    <mergeCell ref="B87:D87"/>
    <mergeCell ref="B88:D88"/>
    <mergeCell ref="B89:D89"/>
    <mergeCell ref="B90:D90"/>
    <mergeCell ref="A91:C91"/>
    <mergeCell ref="B92:D92"/>
  </mergeCells>
  <hyperlinks>
    <hyperlink ref="B36" r:id="rId1" display="08 - Sebrae 0,3% ou 0,6% - IN nº 03, MPS/SRP/2005, Anexo II e III ver código da Tabela"/>
  </hyperlinks>
  <pageMargins left="0.51181102362204722" right="0.51181102362204722" top="0.78740157480314965" bottom="0.78740157480314965" header="0.31496062992125984" footer="0.31496062992125984"/>
  <pageSetup paperSize="9" scale="69" orientation="portrait" r:id="rId2"/>
  <rowBreaks count="1" manualBreakCount="1">
    <brk id="66" max="4" man="1"/>
  </rowBreaks>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15</vt:i4>
      </vt:variant>
      <vt:variant>
        <vt:lpstr>Intervalos nomeados</vt:lpstr>
      </vt:variant>
      <vt:variant>
        <vt:i4>13</vt:i4>
      </vt:variant>
    </vt:vector>
  </HeadingPairs>
  <TitlesOfParts>
    <vt:vector size="28" baseType="lpstr">
      <vt:lpstr>Plan2</vt:lpstr>
      <vt:lpstr>Plan3</vt:lpstr>
      <vt:lpstr>RESUMO</vt:lpstr>
      <vt:lpstr> VIG. DIURNO-DESARM. 2ª à 6ª </vt:lpstr>
      <vt:lpstr> VIG. DIURNO- ARM. 2ª à 6ª </vt:lpstr>
      <vt:lpstr> VIG. DIURNO-ARM. 2ª a DOM. </vt:lpstr>
      <vt:lpstr>VIG. NOTURNO-ARM. 2ª a DOM.</vt:lpstr>
      <vt:lpstr> VIG. DIURNO HORISTA</vt:lpstr>
      <vt:lpstr> VIG.NOTURNO HORISTA </vt:lpstr>
      <vt:lpstr>Horista Diurno </vt:lpstr>
      <vt:lpstr>Horista Noturno </vt:lpstr>
      <vt:lpstr>Mat. Unif.-LOTE I</vt:lpstr>
      <vt:lpstr>Mat. Unif.LOTE II a VII</vt:lpstr>
      <vt:lpstr> VIG. DIURNO-ARM. 2ª a DOM.INT.</vt:lpstr>
      <vt:lpstr>VIG. NOTURNO-ARM. 2ª a DOM.INT.</vt:lpstr>
      <vt:lpstr>' VIG. DIURNO- ARM. 2ª à 6ª '!Area_de_impressao</vt:lpstr>
      <vt:lpstr>' VIG. DIURNO HORISTA'!Area_de_impressao</vt:lpstr>
      <vt:lpstr>' VIG. DIURNO-ARM. 2ª a DOM. '!Area_de_impressao</vt:lpstr>
      <vt:lpstr>' VIG. DIURNO-ARM. 2ª a DOM.INT.'!Area_de_impressao</vt:lpstr>
      <vt:lpstr>' VIG. DIURNO-DESARM. 2ª à 6ª '!Area_de_impressao</vt:lpstr>
      <vt:lpstr>' VIG.NOTURNO HORISTA '!Area_de_impressao</vt:lpstr>
      <vt:lpstr>'Horista Diurno '!Area_de_impressao</vt:lpstr>
      <vt:lpstr>'Horista Noturno '!Area_de_impressao</vt:lpstr>
      <vt:lpstr>'Mat. Unif.-LOTE I'!Area_de_impressao</vt:lpstr>
      <vt:lpstr>'Mat. Unif.LOTE II a VII'!Area_de_impressao</vt:lpstr>
      <vt:lpstr>RESUMO!Area_de_impressao</vt:lpstr>
      <vt:lpstr>'VIG. NOTURNO-ARM. 2ª a DOM.'!Area_de_impressao</vt:lpstr>
      <vt:lpstr>'VIG. NOTURNO-ARM. 2ª a DOM.INT.'!Area_de_impressao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gabryel</dc:creator>
  <cp:lastModifiedBy>Tania Mara Campagnolli</cp:lastModifiedBy>
  <cp:lastPrinted>2024-07-29T19:38:29Z</cp:lastPrinted>
  <dcterms:created xsi:type="dcterms:W3CDTF">2014-04-11T01:53:38Z</dcterms:created>
  <dcterms:modified xsi:type="dcterms:W3CDTF">2024-07-29T19:39:10Z</dcterms:modified>
</cp:coreProperties>
</file>