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S:\COMISSÃO GAMA\1GAMA\9. GAMA 2022\EDITAIS\3. SERVIÇOS\PE 44-22_SESAU LIMPEZA REPETIÇÃO\"/>
    </mc:Choice>
  </mc:AlternateContent>
  <xr:revisionPtr revIDLastSave="0" documentId="8_{84DE7E50-545F-4706-AEF4-359B82E49C4A}" xr6:coauthVersionLast="47" xr6:coauthVersionMax="47" xr10:uidLastSave="{00000000-0000-0000-0000-000000000000}"/>
  <bookViews>
    <workbookView xWindow="-120" yWindow="-120" windowWidth="29040" windowHeight="15840" tabRatio="951" firstSheet="2" activeTab="2" xr2:uid="{00000000-000D-0000-FFFF-FFFF00000000}"/>
  </bookViews>
  <sheets>
    <sheet name="Plan2" sheetId="2" state="hidden" r:id="rId1"/>
    <sheet name="Plan3" sheetId="3" state="hidden" r:id="rId2"/>
    <sheet name="resumo" sheetId="48" r:id="rId3"/>
    <sheet name="Auxiliar de limpeza - diurno" sheetId="52" r:id="rId4"/>
    <sheet name="Limpador de fachada" sheetId="55" r:id="rId5"/>
    <sheet name="Encarregado" sheetId="54" state="hidden" r:id="rId6"/>
    <sheet name="UNIFORMES" sheetId="47" r:id="rId7"/>
    <sheet name="MATERIAS E EQUIPAMENTOS" sheetId="56" r:id="rId8"/>
    <sheet name="SEGURANÇA  CURSOS TREINA" sheetId="49" r:id="rId9"/>
    <sheet name="M2" sheetId="43" r:id="rId10"/>
    <sheet name="PRODUTIVIDADE" sheetId="50" r:id="rId11"/>
  </sheets>
  <definedNames>
    <definedName name="_xlnm.Print_Area" localSheetId="3">'Auxiliar de limpeza - diurno'!$A$1:$E$113</definedName>
    <definedName name="_xlnm.Print_Area" localSheetId="5">Encarregado!$A$1:$E$112</definedName>
    <definedName name="_xlnm.Print_Area" localSheetId="4">'Limpador de fachada'!$A$1:$E$113</definedName>
    <definedName name="_xlnm.Print_Area" localSheetId="9">'M2'!$A$1:$I$42</definedName>
    <definedName name="_xlnm.Print_Area" localSheetId="7">'MATERIAS E EQUIPAMENTOS'!$A$1:$L$66</definedName>
    <definedName name="_xlnm.Print_Area" localSheetId="2">resumo!$A$2:$J$26</definedName>
    <definedName name="_xlnm.Print_Area" localSheetId="8">'SEGURANÇA  CURSOS TREINA'!$A$1:$F$19</definedName>
    <definedName name="_xlnm.Print_Area" localSheetId="6">UNIFORMES!$A$1:$F$14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43" l="1"/>
  <c r="D64" i="55"/>
  <c r="D33" i="43" l="1"/>
  <c r="D103" i="52"/>
  <c r="D95" i="52"/>
  <c r="I14" i="50"/>
  <c r="D40" i="43" l="1"/>
  <c r="D39" i="43"/>
  <c r="I13" i="50" l="1"/>
  <c r="F39" i="43"/>
  <c r="F34" i="43" l="1"/>
  <c r="G39" i="43"/>
  <c r="D34" i="43"/>
  <c r="F40" i="43"/>
  <c r="D27" i="43"/>
  <c r="D26" i="43"/>
  <c r="D19" i="43"/>
  <c r="F19" i="43" s="1"/>
  <c r="D18" i="43"/>
  <c r="D13" i="43"/>
  <c r="D12" i="43"/>
  <c r="D7" i="43"/>
  <c r="D6" i="43"/>
  <c r="I15" i="50"/>
  <c r="I10" i="50"/>
  <c r="I11" i="50" s="1"/>
  <c r="H14" i="50"/>
  <c r="G14" i="50"/>
  <c r="H13" i="50"/>
  <c r="G13" i="50"/>
  <c r="H10" i="50"/>
  <c r="G10" i="50"/>
  <c r="D15" i="50"/>
  <c r="C15" i="50"/>
  <c r="D8" i="50"/>
  <c r="D11" i="50" s="1"/>
  <c r="C8" i="50"/>
  <c r="C11" i="50" s="1"/>
  <c r="E15" i="50"/>
  <c r="E11" i="50"/>
  <c r="E7" i="50"/>
  <c r="I7" i="50" s="1"/>
  <c r="E6" i="50"/>
  <c r="I6" i="50" s="1"/>
  <c r="E5" i="50"/>
  <c r="I5" i="50" s="1"/>
  <c r="H18" i="56"/>
  <c r="J18" i="56" s="1"/>
  <c r="L18" i="56" s="1"/>
  <c r="H60" i="56"/>
  <c r="J60" i="56" s="1"/>
  <c r="L60" i="56" s="1"/>
  <c r="H59" i="56"/>
  <c r="J59" i="56" s="1"/>
  <c r="L59" i="56" s="1"/>
  <c r="H58" i="56"/>
  <c r="J58" i="56" s="1"/>
  <c r="L58" i="56" s="1"/>
  <c r="H57" i="56"/>
  <c r="J57" i="56" s="1"/>
  <c r="L57" i="56" s="1"/>
  <c r="H56" i="56"/>
  <c r="J56" i="56" s="1"/>
  <c r="L56" i="56" s="1"/>
  <c r="H55" i="56"/>
  <c r="J55" i="56" s="1"/>
  <c r="L55" i="56" s="1"/>
  <c r="H49" i="56"/>
  <c r="J49" i="56" s="1"/>
  <c r="L49" i="56" s="1"/>
  <c r="H48" i="56"/>
  <c r="J48" i="56" s="1"/>
  <c r="L48" i="56" s="1"/>
  <c r="H47" i="56"/>
  <c r="J47" i="56" s="1"/>
  <c r="L47" i="56" s="1"/>
  <c r="H46" i="56"/>
  <c r="J46" i="56" s="1"/>
  <c r="L46" i="56" s="1"/>
  <c r="H40" i="56"/>
  <c r="J40" i="56" s="1"/>
  <c r="L40" i="56" s="1"/>
  <c r="H39" i="56"/>
  <c r="J39" i="56" s="1"/>
  <c r="L39" i="56" s="1"/>
  <c r="H38" i="56"/>
  <c r="J38" i="56" s="1"/>
  <c r="L38" i="56" s="1"/>
  <c r="H37" i="56"/>
  <c r="J37" i="56" s="1"/>
  <c r="L37" i="56" s="1"/>
  <c r="H36" i="56"/>
  <c r="J36" i="56" s="1"/>
  <c r="L36" i="56" s="1"/>
  <c r="H30" i="56"/>
  <c r="J30" i="56" s="1"/>
  <c r="L30" i="56" s="1"/>
  <c r="H29" i="56"/>
  <c r="J29" i="56" s="1"/>
  <c r="L29" i="56" s="1"/>
  <c r="H28" i="56"/>
  <c r="J28" i="56" s="1"/>
  <c r="L28" i="56" s="1"/>
  <c r="H27" i="56"/>
  <c r="J27" i="56" s="1"/>
  <c r="L27" i="56" s="1"/>
  <c r="H26" i="56"/>
  <c r="J26" i="56" s="1"/>
  <c r="L26" i="56" s="1"/>
  <c r="H25" i="56"/>
  <c r="J25" i="56" s="1"/>
  <c r="L25" i="56" s="1"/>
  <c r="H24" i="56"/>
  <c r="J24" i="56" s="1"/>
  <c r="L24" i="56" s="1"/>
  <c r="H23" i="56"/>
  <c r="J23" i="56" s="1"/>
  <c r="L23" i="56" s="1"/>
  <c r="H22" i="56"/>
  <c r="J22" i="56" s="1"/>
  <c r="L22" i="56" s="1"/>
  <c r="H21" i="56"/>
  <c r="J21" i="56" s="1"/>
  <c r="L21" i="56" s="1"/>
  <c r="H20" i="56"/>
  <c r="J20" i="56" s="1"/>
  <c r="L20" i="56" s="1"/>
  <c r="H19" i="56"/>
  <c r="J19" i="56" s="1"/>
  <c r="L19" i="56" s="1"/>
  <c r="H17" i="56"/>
  <c r="J17" i="56" s="1"/>
  <c r="L17" i="56" s="1"/>
  <c r="H16" i="56"/>
  <c r="J16" i="56" s="1"/>
  <c r="L16" i="56" s="1"/>
  <c r="H15" i="56"/>
  <c r="J15" i="56" s="1"/>
  <c r="L15" i="56" s="1"/>
  <c r="H14" i="56"/>
  <c r="J14" i="56" s="1"/>
  <c r="L14" i="56" s="1"/>
  <c r="H13" i="56"/>
  <c r="J13" i="56" s="1"/>
  <c r="L13" i="56" s="1"/>
  <c r="H12" i="56"/>
  <c r="J12" i="56" s="1"/>
  <c r="L12" i="56" s="1"/>
  <c r="H11" i="56"/>
  <c r="J11" i="56" s="1"/>
  <c r="L11" i="56" s="1"/>
  <c r="H10" i="56"/>
  <c r="J10" i="56" s="1"/>
  <c r="L10" i="56" s="1"/>
  <c r="H9" i="56"/>
  <c r="J9" i="56" s="1"/>
  <c r="L9" i="56" s="1"/>
  <c r="H8" i="56"/>
  <c r="J8" i="56" s="1"/>
  <c r="L8" i="56" s="1"/>
  <c r="H7" i="56"/>
  <c r="J7" i="56" s="1"/>
  <c r="L7" i="56" s="1"/>
  <c r="H6" i="56"/>
  <c r="J6" i="56" s="1"/>
  <c r="L6" i="56" s="1"/>
  <c r="E12" i="47"/>
  <c r="F12" i="47" s="1"/>
  <c r="E4" i="47"/>
  <c r="F4" i="47" s="1"/>
  <c r="E10" i="47"/>
  <c r="F10" i="47" s="1"/>
  <c r="E9" i="47"/>
  <c r="F9" i="47" s="1"/>
  <c r="E8" i="47"/>
  <c r="F8" i="47" s="1"/>
  <c r="E7" i="47"/>
  <c r="F7" i="47" s="1"/>
  <c r="E6" i="47"/>
  <c r="F6" i="47" s="1"/>
  <c r="E45" i="55"/>
  <c r="D103" i="55"/>
  <c r="D95" i="55"/>
  <c r="D74" i="55"/>
  <c r="E73" i="55"/>
  <c r="E74" i="55" s="1"/>
  <c r="E78" i="55" s="1"/>
  <c r="D60" i="55"/>
  <c r="D57" i="55"/>
  <c r="D56" i="55"/>
  <c r="D40" i="55"/>
  <c r="D59" i="55" s="1"/>
  <c r="D27" i="55"/>
  <c r="D29" i="55" s="1"/>
  <c r="E17" i="55"/>
  <c r="E20" i="55" s="1"/>
  <c r="E24" i="55" s="1"/>
  <c r="E45" i="52"/>
  <c r="I8" i="50" l="1"/>
  <c r="E64" i="55"/>
  <c r="E47" i="55"/>
  <c r="E51" i="55" s="1"/>
  <c r="E8" i="50"/>
  <c r="C16" i="50"/>
  <c r="I16" i="50"/>
  <c r="I19" i="50" s="1"/>
  <c r="D61" i="55"/>
  <c r="E16" i="50"/>
  <c r="D16" i="50"/>
  <c r="L41" i="56"/>
  <c r="L42" i="56" s="1"/>
  <c r="L61" i="56"/>
  <c r="L50" i="56"/>
  <c r="L31" i="56"/>
  <c r="E68" i="55"/>
  <c r="E66" i="55"/>
  <c r="E65" i="55"/>
  <c r="E58" i="55"/>
  <c r="E57" i="55"/>
  <c r="E106" i="55"/>
  <c r="E28" i="55"/>
  <c r="E27" i="55"/>
  <c r="E67" i="55"/>
  <c r="E55" i="55"/>
  <c r="E60" i="55"/>
  <c r="E59" i="55"/>
  <c r="E56" i="55"/>
  <c r="D69" i="55"/>
  <c r="E69" i="55" s="1"/>
  <c r="D78" i="55"/>
  <c r="E11" i="47"/>
  <c r="F11" i="47" s="1"/>
  <c r="L32" i="56" l="1"/>
  <c r="L51" i="56"/>
  <c r="L62" i="56"/>
  <c r="L65" i="56" s="1"/>
  <c r="E29" i="55"/>
  <c r="D70" i="55"/>
  <c r="D77" i="55" s="1"/>
  <c r="D79" i="55" s="1"/>
  <c r="E70" i="55"/>
  <c r="E77" i="55" s="1"/>
  <c r="E79" i="55" s="1"/>
  <c r="E109" i="55" s="1"/>
  <c r="E61" i="55"/>
  <c r="E108" i="55" s="1"/>
  <c r="E16" i="49"/>
  <c r="E49" i="55" l="1"/>
  <c r="E32" i="55"/>
  <c r="E35" i="55"/>
  <c r="E33" i="55"/>
  <c r="E34" i="55"/>
  <c r="E38" i="55"/>
  <c r="E36" i="55"/>
  <c r="E39" i="55"/>
  <c r="E37" i="55"/>
  <c r="F16" i="49"/>
  <c r="F17" i="49" s="1"/>
  <c r="E84" i="52"/>
  <c r="E84" i="55"/>
  <c r="E40" i="55" l="1"/>
  <c r="E50" i="55" s="1"/>
  <c r="E52" i="55" s="1"/>
  <c r="E107" i="55" s="1"/>
  <c r="E87" i="52"/>
  <c r="E87" i="55"/>
  <c r="E42" i="54" l="1"/>
  <c r="D64" i="52"/>
  <c r="D64" i="54" l="1"/>
  <c r="E46" i="54" l="1"/>
  <c r="D60" i="52" l="1"/>
  <c r="D94" i="54" l="1"/>
  <c r="D60" i="54"/>
  <c r="D57" i="54"/>
  <c r="D56" i="54"/>
  <c r="D56" i="52"/>
  <c r="D57" i="52"/>
  <c r="E45" i="54" l="1"/>
  <c r="D102" i="54"/>
  <c r="D74" i="54"/>
  <c r="E73" i="54"/>
  <c r="E74" i="54" s="1"/>
  <c r="E78" i="54" s="1"/>
  <c r="E43" i="54"/>
  <c r="D40" i="54"/>
  <c r="D27" i="54"/>
  <c r="D29" i="54" s="1"/>
  <c r="E19" i="54"/>
  <c r="E17" i="54"/>
  <c r="E20" i="54" s="1"/>
  <c r="D74" i="52"/>
  <c r="E73" i="52"/>
  <c r="E74" i="52" s="1"/>
  <c r="E78" i="52" s="1"/>
  <c r="E47" i="52"/>
  <c r="E51" i="52" s="1"/>
  <c r="D40" i="52"/>
  <c r="D27" i="52"/>
  <c r="D29" i="52" s="1"/>
  <c r="E17" i="52"/>
  <c r="D59" i="52" l="1"/>
  <c r="D61" i="52" s="1"/>
  <c r="D69" i="52"/>
  <c r="D70" i="52" s="1"/>
  <c r="D77" i="52" s="1"/>
  <c r="D59" i="54"/>
  <c r="D61" i="54" s="1"/>
  <c r="D69" i="54"/>
  <c r="D70" i="54" s="1"/>
  <c r="D77" i="54" s="1"/>
  <c r="E47" i="54"/>
  <c r="E51" i="54" s="1"/>
  <c r="E24" i="54"/>
  <c r="E66" i="54" s="1"/>
  <c r="D78" i="54"/>
  <c r="D78" i="52"/>
  <c r="E20" i="52"/>
  <c r="E24" i="52" s="1"/>
  <c r="E55" i="54" l="1"/>
  <c r="E68" i="54"/>
  <c r="E56" i="54"/>
  <c r="E65" i="54"/>
  <c r="D79" i="52"/>
  <c r="E67" i="54"/>
  <c r="D79" i="54"/>
  <c r="E69" i="54"/>
  <c r="E57" i="54"/>
  <c r="E105" i="54"/>
  <c r="E28" i="54"/>
  <c r="E59" i="54"/>
  <c r="E58" i="54"/>
  <c r="E27" i="54"/>
  <c r="E64" i="54"/>
  <c r="E60" i="54"/>
  <c r="E67" i="52"/>
  <c r="E66" i="52"/>
  <c r="E28" i="52"/>
  <c r="E69" i="52"/>
  <c r="E65" i="52"/>
  <c r="E58" i="52"/>
  <c r="E27" i="52"/>
  <c r="E106" i="52"/>
  <c r="E68" i="52"/>
  <c r="E64" i="52"/>
  <c r="E55" i="52"/>
  <c r="E57" i="52"/>
  <c r="E60" i="52"/>
  <c r="E56" i="52"/>
  <c r="E59" i="52"/>
  <c r="E29" i="54" l="1"/>
  <c r="E49" i="54" s="1"/>
  <c r="E70" i="52"/>
  <c r="E29" i="52"/>
  <c r="E39" i="52" s="1"/>
  <c r="E70" i="54"/>
  <c r="E77" i="54" s="1"/>
  <c r="E79" i="54" s="1"/>
  <c r="E108" i="54" s="1"/>
  <c r="E61" i="54"/>
  <c r="E107" i="54" s="1"/>
  <c r="E34" i="54"/>
  <c r="E39" i="54"/>
  <c r="E36" i="54"/>
  <c r="E33" i="54"/>
  <c r="E77" i="52"/>
  <c r="E79" i="52" s="1"/>
  <c r="E109" i="52" s="1"/>
  <c r="E61" i="52"/>
  <c r="E108" i="52" s="1"/>
  <c r="E32" i="54" l="1"/>
  <c r="E38" i="54"/>
  <c r="E35" i="54"/>
  <c r="E37" i="54"/>
  <c r="E38" i="52"/>
  <c r="E34" i="52"/>
  <c r="E32" i="52"/>
  <c r="E49" i="52"/>
  <c r="E37" i="52"/>
  <c r="E36" i="52"/>
  <c r="E33" i="52"/>
  <c r="E35" i="52"/>
  <c r="E40" i="54"/>
  <c r="E50" i="54" s="1"/>
  <c r="E52" i="54" s="1"/>
  <c r="E40" i="52" l="1"/>
  <c r="E50" i="52" s="1"/>
  <c r="E52" i="52" s="1"/>
  <c r="E106" i="54"/>
  <c r="E107" i="52" l="1"/>
  <c r="E5" i="47" l="1"/>
  <c r="F5" i="47" s="1"/>
  <c r="F13" i="47" s="1"/>
  <c r="E82" i="55" l="1"/>
  <c r="E82" i="52"/>
  <c r="H7" i="50" l="1"/>
  <c r="G7" i="50"/>
  <c r="H5" i="50"/>
  <c r="G5" i="50"/>
  <c r="E10" i="49" l="1"/>
  <c r="F10" i="49" s="1"/>
  <c r="F11" i="49" s="1"/>
  <c r="E4" i="49"/>
  <c r="E86" i="52" l="1"/>
  <c r="E86" i="55"/>
  <c r="L64" i="56"/>
  <c r="F4" i="49"/>
  <c r="F5" i="49" s="1"/>
  <c r="E85" i="54"/>
  <c r="E86" i="54"/>
  <c r="E85" i="52" l="1"/>
  <c r="E85" i="55"/>
  <c r="E83" i="52"/>
  <c r="E83" i="55"/>
  <c r="N21" i="48"/>
  <c r="N17" i="48"/>
  <c r="N14" i="48"/>
  <c r="N13" i="48"/>
  <c r="E82" i="54" l="1"/>
  <c r="E88" i="55" l="1"/>
  <c r="E87" i="54"/>
  <c r="E110" i="55" l="1"/>
  <c r="E111" i="55" s="1"/>
  <c r="E89" i="55"/>
  <c r="E90" i="55" s="1"/>
  <c r="E109" i="54"/>
  <c r="E110" i="54" s="1"/>
  <c r="E88" i="54"/>
  <c r="E89" i="54" s="1"/>
  <c r="E88" i="52"/>
  <c r="E89" i="52" s="1"/>
  <c r="G33" i="43"/>
  <c r="G34" i="43"/>
  <c r="G40" i="43"/>
  <c r="E93" i="55" l="1"/>
  <c r="E94" i="55" s="1"/>
  <c r="E95" i="55" s="1"/>
  <c r="E96" i="55" s="1"/>
  <c r="E92" i="54"/>
  <c r="E93" i="54" s="1"/>
  <c r="E94" i="54" s="1"/>
  <c r="E95" i="54" s="1"/>
  <c r="E110" i="52"/>
  <c r="E111" i="52" s="1"/>
  <c r="E90" i="52"/>
  <c r="E102" i="55" l="1"/>
  <c r="E99" i="55"/>
  <c r="E98" i="55"/>
  <c r="E97" i="54"/>
  <c r="E101" i="54"/>
  <c r="E98" i="54"/>
  <c r="E93" i="52"/>
  <c r="E94" i="52" s="1"/>
  <c r="E95" i="52" s="1"/>
  <c r="E96" i="52" s="1"/>
  <c r="E103" i="55" l="1"/>
  <c r="E104" i="55" s="1"/>
  <c r="E112" i="55" s="1"/>
  <c r="E113" i="55" s="1"/>
  <c r="E102" i="54"/>
  <c r="E103" i="54" s="1"/>
  <c r="E111" i="54" s="1"/>
  <c r="E112" i="54" s="1"/>
  <c r="E99" i="52"/>
  <c r="E102" i="52"/>
  <c r="E98" i="52"/>
  <c r="H39" i="43" l="1"/>
  <c r="H33" i="43"/>
  <c r="F13" i="43"/>
  <c r="F7" i="43"/>
  <c r="E103" i="52"/>
  <c r="E104" i="52" s="1"/>
  <c r="E112" i="52" s="1"/>
  <c r="E113" i="52" s="1"/>
  <c r="E12" i="43" l="1"/>
  <c r="F12" i="43" s="1"/>
  <c r="F14" i="43" s="1"/>
  <c r="E13" i="48" s="1"/>
  <c r="E26" i="43"/>
  <c r="E6" i="43"/>
  <c r="F6" i="43" s="1"/>
  <c r="F8" i="43" s="1"/>
  <c r="E12" i="48" s="1"/>
  <c r="F12" i="48" s="1"/>
  <c r="G12" i="48" s="1"/>
  <c r="E18" i="43"/>
  <c r="F18" i="43" s="1"/>
  <c r="F20" i="43" s="1"/>
  <c r="E14" i="48" s="1"/>
  <c r="H34" i="43" l="1"/>
  <c r="F27" i="43"/>
  <c r="H40" i="43" l="1"/>
  <c r="I40" i="43" s="1"/>
  <c r="I34" i="43"/>
  <c r="D13" i="2"/>
  <c r="D12" i="2"/>
  <c r="D11" i="2"/>
  <c r="D10" i="2"/>
  <c r="D9" i="2"/>
  <c r="D8" i="2"/>
  <c r="F26" i="43" l="1"/>
  <c r="F28" i="43" s="1"/>
  <c r="E17" i="48" s="1"/>
  <c r="F17" i="48" l="1"/>
  <c r="G17" i="48" s="1"/>
  <c r="F13" i="48" l="1"/>
  <c r="F14" i="48"/>
  <c r="G14" i="48" s="1"/>
  <c r="G13" i="48" l="1"/>
  <c r="I33" i="43" l="1"/>
  <c r="I35" i="43" s="1"/>
  <c r="E20" i="48" s="1"/>
  <c r="I39" i="43" l="1"/>
  <c r="I41" i="43" s="1"/>
  <c r="E21" i="48" s="1"/>
  <c r="F20" i="48" l="1"/>
  <c r="F21" i="48"/>
  <c r="G21" i="48" s="1"/>
  <c r="D17" i="50"/>
  <c r="G20" i="48" l="1"/>
  <c r="G23" i="48" s="1"/>
  <c r="F23" i="48"/>
</calcChain>
</file>

<file path=xl/sharedStrings.xml><?xml version="1.0" encoding="utf-8"?>
<sst xmlns="http://schemas.openxmlformats.org/spreadsheetml/2006/main" count="1020" uniqueCount="368">
  <si>
    <t>A</t>
  </si>
  <si>
    <t>Data de apresentação da proposta (mês/ano)</t>
  </si>
  <si>
    <t>B</t>
  </si>
  <si>
    <t>C</t>
  </si>
  <si>
    <t>Ano Acordo, Convenção ou Sentença Normativa em Dissídio Coletivo</t>
  </si>
  <si>
    <t>D</t>
  </si>
  <si>
    <t>Identificação do Serviço</t>
  </si>
  <si>
    <t>Anexo III-A – Mão-de-obra</t>
  </si>
  <si>
    <t>Mão-de-obra vinculada à execução contratual</t>
  </si>
  <si>
    <t>Dados complementares para composição dos custos referente à mão-de-obra</t>
  </si>
  <si>
    <t>Valor (R$)</t>
  </si>
  <si>
    <t>Salário Normativo da Categoria Profissional</t>
  </si>
  <si>
    <t>Categoria profissional (vinculada à execução contratual)</t>
  </si>
  <si>
    <t>Data base da categoria (dia/mês/ano)</t>
  </si>
  <si>
    <t>MÓDULO 1 : COMPOSIÇÃO DA REMUNERAÇÃO</t>
  </si>
  <si>
    <t>Composição da Remuneração</t>
  </si>
  <si>
    <t>Salário</t>
  </si>
  <si>
    <t>Adicional de Periculosidade</t>
  </si>
  <si>
    <t>30% sobre o salário</t>
  </si>
  <si>
    <t>Adicional Noturno</t>
  </si>
  <si>
    <t>20% sobre  a hora diurna</t>
  </si>
  <si>
    <t>E</t>
  </si>
  <si>
    <t>Hora noturna adicional (somente após as 05:00h)</t>
  </si>
  <si>
    <t>H. Extra (+50%) ou H. Normal + 20% de adiconal</t>
  </si>
  <si>
    <t>F</t>
  </si>
  <si>
    <t>G</t>
  </si>
  <si>
    <t>TOTAL DA REMUNERAÇÃO</t>
  </si>
  <si>
    <t>TOTAL DE BENEFÍCIOS MENSAIS E DIÁRIOS</t>
  </si>
  <si>
    <t>4.1</t>
  </si>
  <si>
    <t>Encargos previdenciários e FGTS</t>
  </si>
  <si>
    <t>H</t>
  </si>
  <si>
    <t>TOTAL</t>
  </si>
  <si>
    <t>4.2</t>
  </si>
  <si>
    <t>13 º Salário</t>
  </si>
  <si>
    <t>Provisão para Rescisão</t>
  </si>
  <si>
    <t>Aviso prévio trabalhado</t>
  </si>
  <si>
    <t>Módulo 4 – Encargos sociais e trabalhistas</t>
  </si>
  <si>
    <t>TOTAL DOS ENCARGOS SOCIAIS E TRABALHISTAS</t>
  </si>
  <si>
    <t>nota1</t>
  </si>
  <si>
    <t>nota 2</t>
  </si>
  <si>
    <t>Custos Indiretos, Tributos e Lucro</t>
  </si>
  <si>
    <t>Custos Indiretos</t>
  </si>
  <si>
    <t>Lucro (MT + M5.A)</t>
  </si>
  <si>
    <t>Tributos</t>
  </si>
  <si>
    <t>C1. Tributos Federais</t>
  </si>
  <si>
    <t>C.2 Tributos Estaduais (especificar)</t>
  </si>
  <si>
    <t xml:space="preserve">C.3 Tributos Municipais </t>
  </si>
  <si>
    <t>TOTAL DOS TRIBUTOS</t>
  </si>
  <si>
    <t>TOTAL DOS CUSTOS INDIRETOS, TRIBUTOS E LUCRO</t>
  </si>
  <si>
    <t>Mão-de-obra vinculada à execução contratual (valor por empregado)</t>
  </si>
  <si>
    <t>Módulo 1 – Composição da Remuneração</t>
  </si>
  <si>
    <t>Subtotal (A + B +C+ D)</t>
  </si>
  <si>
    <t>Módulo 5 – Custos indiretos, tributos e lucro</t>
  </si>
  <si>
    <t>VALOR TOTAL POR EMPREGADO</t>
  </si>
  <si>
    <t>Subtotal  para   efeito  de  cálculo  do s Tributos  (MT + MA + MB) FATURAMENTO [(100-8,65)/100]</t>
  </si>
  <si>
    <t xml:space="preserve"> MÓDULO 2: BENEFÍCIOS MENSAIS E DIÁRIOS</t>
  </si>
  <si>
    <t>]</t>
  </si>
  <si>
    <t>27/08/2012 - APLICABILIDADE DA LEI Nº 12.506, DE 11 DE OUTUBRO DE 2011</t>
  </si>
  <si>
    <t>AVISO PRÉVIO TRABALHADO</t>
  </si>
  <si>
    <t>COMUNICA</t>
  </si>
  <si>
    <t>Com a publicação da LEI 12.506/2011, ainda que esta não se manifeste sobre a redução da jornada e da proporcionalidade nos dias de falta ao trabalho no caso de aviso prévio trabalhado, poder-se-ia entender que o empregado teria direito à redução de 2 horas diárias, bem como poderia faltar ao trabalho o número de dias proporcionais ao tempo trabalhado.</t>
  </si>
  <si>
    <r>
      <t>ASSIM SENDO, COM A NOVA PREVISÃO LEGAL</t>
    </r>
    <r>
      <rPr>
        <b/>
        <sz val="8"/>
        <color rgb="FFFF0000"/>
        <rFont val="Verdana"/>
        <family val="2"/>
      </rPr>
      <t>, HAVERÁ NECESSIDADE DE MODIFICAÇÃO NA METODOLOGIA ATÉ ENTÃO ADOTADA PARA PRORROGAÇÃO DOS CONTRATOS DE PRESTAÇÃO DE SERVIÇOS COM ALOCAÇÃO DE MÃO DE OBRA. NESSE CASO, O VALOR PREVISTO A TÍTULO DE AVISO PRÉVIO DEVERÁ CONSIDERAR 3 (TRÊS) DIAS PARA CADA ANO DE PRORROGAÇÃO, ATÉ O LIMITE DE 12 (DOZE) DIAS, PERFAZENDO UM TOTAL DE 42 (QUARENTA E DOIS) DIAS</t>
    </r>
    <r>
      <rPr>
        <sz val="8"/>
        <color rgb="FF000000"/>
        <rFont val="Verdana"/>
        <family val="2"/>
      </rPr>
      <t>, VISTO QUE O INCISO II DO ART. 57 DA LEI N° 8.666, DE 21 DE JUNHO DE 1993, PERMITE QUE OS CONTRATOS DE PRESTAÇÃO DE SERVIÇOS CONTINUADOS SEJAM PRORROGADOS ATÉ UM LIMITE DE SESSENTA MESES, CASO OS PREÇOS E CONDIÇÕES SEJAM MAIS VANTAJOSOS PARA A ADMINISTRAÇÃO. DESSA FORMA, A METODOLOGIA REFLETIRÁ O PRAZO DE AVISO PRÉVIO QUE O EMPREGADO ACUMULA NO PRIMEIRO ANO E NOS SEGUINTES DO CONTRATO.</t>
    </r>
  </si>
  <si>
    <t>Aviso Prévio Trabalhado - Demissão Sem Justa Causa</t>
  </si>
  <si>
    <t>BRASÍLIA-DF, 15 DE AGOSTO DE 2012</t>
  </si>
  <si>
    <t>Tempo Trabalhado</t>
  </si>
  <si>
    <t>Dias de Aviso</t>
  </si>
  <si>
    <t>Faltas ao Trabalho</t>
  </si>
  <si>
    <t>SECRETARIA DE LOGÍSTICA E TECNOLOGIA DA INFORMAÇÃO – SLTI</t>
  </si>
  <si>
    <t>no final do aviso</t>
  </si>
  <si>
    <t>DEPARTAMENTO DE LOGÍSTICA E SERVIÇOS GERAIS – DLSG</t>
  </si>
  <si>
    <t>Até 1 ano</t>
  </si>
  <si>
    <t>COORDENAÇÃO-GERAL DE NORMAS – CGN</t>
  </si>
  <si>
    <t>Até 2 anos</t>
  </si>
  <si>
    <t>Até 3 anos</t>
  </si>
  <si>
    <t>Até 4 anos</t>
  </si>
  <si>
    <t>Até 5 anos</t>
  </si>
  <si>
    <t>Até 6 anos</t>
  </si>
  <si>
    <t>Até 7 anos</t>
  </si>
  <si>
    <t>Até 8 anos</t>
  </si>
  <si>
    <t>Até 9 anos</t>
  </si>
  <si>
    <t>Até 10 anos</t>
  </si>
  <si>
    <t>Até 11 anos</t>
  </si>
  <si>
    <t>Até 12 anos</t>
  </si>
  <si>
    <t>Até 13 anos</t>
  </si>
  <si>
    <t>Até 14 anos</t>
  </si>
  <si>
    <t>Até 15 anos</t>
  </si>
  <si>
    <t>Até 16 anos</t>
  </si>
  <si>
    <t>Até 17 anos</t>
  </si>
  <si>
    <t>Até 18 anos</t>
  </si>
  <si>
    <t>Até 19 anos</t>
  </si>
  <si>
    <t>Até 20 anos</t>
  </si>
  <si>
    <t>A partir de 20 anos</t>
  </si>
  <si>
    <t>VOLTAR PLANILHA PRINCIPAL</t>
  </si>
  <si>
    <r>
      <t>Nota:</t>
    </r>
    <r>
      <rPr>
        <sz val="14"/>
        <color rgb="FF000000"/>
        <rFont val="Calibri"/>
        <family val="2"/>
        <scheme val="minor"/>
      </rPr>
      <t> Entretanto, a lei não especifica que deva aplicar esta proporcionalidade de acordo com o tempo de empresa, porquanto </t>
    </r>
    <r>
      <rPr>
        <b/>
        <u/>
        <sz val="14"/>
        <color rgb="FF000000"/>
        <rFont val="Calibri"/>
        <family val="2"/>
        <scheme val="minor"/>
      </rPr>
      <t>entendemos que a falta ao final do aviso ainda seja de 7 (sete) dias</t>
    </r>
    <r>
      <rPr>
        <sz val="14"/>
        <color rgb="FF000000"/>
        <rFont val="Calibri"/>
        <family val="2"/>
        <scheme val="minor"/>
      </rPr>
      <t>. Já em relação a redução de jornada, </t>
    </r>
    <r>
      <rPr>
        <b/>
        <u/>
        <sz val="14"/>
        <color rgb="FF000000"/>
        <rFont val="Calibri"/>
        <family val="2"/>
        <scheme val="minor"/>
      </rPr>
      <t>entendemos que deva ser de 2 horas independentemente do número de dias</t>
    </r>
    <r>
      <rPr>
        <sz val="14"/>
        <color rgb="FF000000"/>
        <rFont val="Calibri"/>
        <family val="2"/>
        <scheme val="minor"/>
      </rPr>
      <t> de aviso trabalhado.</t>
    </r>
  </si>
  <si>
    <t>Exemplo</t>
  </si>
  <si>
    <t>Empregado (com um ano de emprego) recebeu a comunicação de desligamento em 01.07.2011, optou pela falta ao serviço durante os últimos 7 (sete) dias corridos. Neste caso, considerando o início da contagem dos 30 dias em 02.07.2011 (dia seguinte ao da comunicação), o término do aviso e consequentemente a baixa na CTPS foi em 31.07.2011, embora o mesmo só trabalhe até 24.07.2011.</t>
  </si>
  <si>
    <t>Neste caso, a data de pagamento das verbas rescisórias será o dia seguinte ao término do aviso, ou seja, 01.08.2011.</t>
  </si>
  <si>
    <t>FONTE: www.guiatrabalhista.com.br</t>
  </si>
  <si>
    <t>PRORROGAÇÃO EXECEPCIONAL (§ 4º DO ART. 57 DA LLC)</t>
  </si>
  <si>
    <t>FALTAS LEGAIS</t>
  </si>
  <si>
    <t>Limite de Faltas</t>
  </si>
  <si>
    <t>Motivo</t>
  </si>
  <si>
    <t>Colunas1</t>
  </si>
  <si>
    <t>Colunas2</t>
  </si>
  <si>
    <t>até 2 dias consecutivos</t>
  </si>
  <si>
    <t>Falecimento de cônjuge, ascendente, descendente, irmão ou pessoa que, declarada em sua CTPS, viva sob sua dependência econômica.</t>
  </si>
  <si>
    <t>até 3 dias consecutivos</t>
  </si>
  <si>
    <t>Casamento</t>
  </si>
  <si>
    <t>5 dias, no decorrer da primeira semana</t>
  </si>
  <si>
    <t>Nascimento de Filho (Este inciso fica tacitamente revogado em virtude do inciso XIX do art. 7º da CF/88 que instituiu a Licença-Paternidade e pelo § 1º do Art. 10 da ADCT/88 que fixou o prazo para 5 (cinco) dias.)</t>
  </si>
  <si>
    <t>1 dia em cada 12 meses de trabalho</t>
  </si>
  <si>
    <t>Doação voluntária de sangue devidamente comprovada</t>
  </si>
  <si>
    <t>até 2 dias consecutivos ou não</t>
  </si>
  <si>
    <t>Alistamento eleitoral</t>
  </si>
  <si>
    <t>até 9 dias</t>
  </si>
  <si>
    <t>gala ou luto, em conseqüência de falecimento do cônjuge, do pai ou mãe, ou de filho de professor</t>
  </si>
  <si>
    <t>---</t>
  </si>
  <si>
    <t>Dias em que estiver comprovadamente realizando provas do exame vestibular em estabelecimento de ensino superior</t>
  </si>
  <si>
    <t>No período de tempo em que tiver de cumprir as exigências do Serviço Militar (art. 65 letra "c" da Lei nº 4375/64)</t>
  </si>
  <si>
    <t>Apresentar-se, anualmente, no local e data que forem fixados, para fins de exercício de apresentação das reservas ou cerimônia cívica do Dia do Reservista.</t>
  </si>
  <si>
    <t>Ausências decorrentes de exercícios ou manobras, pelo convocado matriculado em órgão de formação de reserva (art.60 § 4º da Lei º 4375/64)</t>
  </si>
  <si>
    <t>Ausência do empregado, justificada, a critério do empregador</t>
  </si>
  <si>
    <t>Paralisação dos serviços nos dias em que, por conveniência do empregador, não tenha havido trabalho.</t>
  </si>
  <si>
    <t>Falta ao serviço por acidente de trabalho</t>
  </si>
  <si>
    <t>2 semanas</t>
  </si>
  <si>
    <t>Aborto não criminoso, comprovado por atestado médico oficial</t>
  </si>
  <si>
    <t>até 15 dias</t>
  </si>
  <si>
    <t>Doença, devidamente comprovada por atestado médico (1)</t>
  </si>
  <si>
    <t>Comparecimento necessário, como parte, à Justiça do Trabalho</t>
  </si>
  <si>
    <t>Comparecimento para depor na Justiça, quando devidamente arrolado ou convocado como testemunha</t>
  </si>
  <si>
    <t>Comparecimento às sessões do júri, como jurado sorteado</t>
  </si>
  <si>
    <t>Ausências dos representantes dos trabalhadores no Conselho Curador do FGTS, decorrentes de atividades desse órgão</t>
  </si>
  <si>
    <t>Convocação para o serviço eleitoral</t>
  </si>
  <si>
    <t xml:space="preserve"> </t>
  </si>
  <si>
    <t>PLANILHA DE CUSTOS E FORMAÇÃO DE PREÇOS</t>
  </si>
  <si>
    <t>Tipo de serviço (mesmo serviço com características distintas)</t>
  </si>
  <si>
    <t>INTERVALO INTRAJORNADA</t>
  </si>
  <si>
    <t>DSR INTRAJORNADA</t>
  </si>
  <si>
    <t>ATIVIDADES DE CONSERVAÇÃO E LIMPEZA PREDIAL</t>
  </si>
  <si>
    <t>Área Externa</t>
  </si>
  <si>
    <t>ESPECIFICAÇÃO</t>
  </si>
  <si>
    <t>CBO (410105) Encarregado</t>
  </si>
  <si>
    <t>MÃO DE OBRA</t>
  </si>
  <si>
    <t>(2)
PREÇO DO HOMEM-MÊS
(R$)</t>
  </si>
  <si>
    <t>Servente</t>
  </si>
  <si>
    <t>Encarregado</t>
  </si>
  <si>
    <t>TOTAL:</t>
  </si>
  <si>
    <t xml:space="preserve">ÁREA EXTERNA    </t>
  </si>
  <si>
    <t xml:space="preserve">ESQUADRIAS    </t>
  </si>
  <si>
    <t>(2)
FREQÜÊNCIA NO MÊS
(HORAS***)</t>
  </si>
  <si>
    <t>(3)
JORNADA DE TRABALHO NO MÊS
(HORAS)</t>
  </si>
  <si>
    <t>(4)
(1 x 2 x 3)
(Ki ****)</t>
  </si>
  <si>
    <t>(5)
PREÇO DO HOMEM-MÊS
(R$)</t>
  </si>
  <si>
    <t>ITEM</t>
  </si>
  <si>
    <t>UND</t>
  </si>
  <si>
    <t>VALOR UNT (M²)</t>
  </si>
  <si>
    <t>VALOR TOTAL (Mensal)</t>
  </si>
  <si>
    <t>1.1</t>
  </si>
  <si>
    <t>m²</t>
  </si>
  <si>
    <t>2.1</t>
  </si>
  <si>
    <t>2.2</t>
  </si>
  <si>
    <t>2.3</t>
  </si>
  <si>
    <t>Esquadrias Face Interna e Externa</t>
  </si>
  <si>
    <t>Face externa sem exposição a situação de risco</t>
  </si>
  <si>
    <t>Face interna sem exposição a situação de risco</t>
  </si>
  <si>
    <t>Área Externa - Pisos pavimentados adjacentes às edificações</t>
  </si>
  <si>
    <t>QUANTIDADE</t>
  </si>
  <si>
    <t>Áreas Internas</t>
  </si>
  <si>
    <t>Uniformes</t>
  </si>
  <si>
    <t>Descrição</t>
  </si>
  <si>
    <t>Quant.</t>
  </si>
  <si>
    <t>Valor Unit.</t>
  </si>
  <si>
    <t>Valor Total</t>
  </si>
  <si>
    <t>Custo Mensal</t>
  </si>
  <si>
    <t>Consumo mensal</t>
  </si>
  <si>
    <t>Item</t>
  </si>
  <si>
    <t>Discriminação</t>
  </si>
  <si>
    <t>Vida Útil</t>
  </si>
  <si>
    <t>Valor Mensal</t>
  </si>
  <si>
    <t>Total Mensal</t>
  </si>
  <si>
    <t>Equipamentos</t>
  </si>
  <si>
    <t xml:space="preserve">C3-A (ISS 5,0) </t>
  </si>
  <si>
    <t>VALOR TOTAL (Anual)</t>
  </si>
  <si>
    <t>Total por Colaborador</t>
  </si>
  <si>
    <t>Unidade.</t>
  </si>
  <si>
    <r>
      <t>(1)
PRODUTIVIDADE
(1/M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</si>
  <si>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(1x2)
SUBTOTAL
(R$/M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</si>
  <si>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(4x5)
SUBTOTAL
(R$/M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</si>
  <si>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CURSOS E TREINAMENTOS</t>
  </si>
  <si>
    <t>SEGURANÇA E SAÚDE DO TRABALHADOR</t>
  </si>
  <si>
    <t>PRODUTIVIDADE POR M³</t>
  </si>
  <si>
    <t>LOTE</t>
  </si>
  <si>
    <t>LOCAL</t>
  </si>
  <si>
    <t>ÁREA CRÍTICA</t>
  </si>
  <si>
    <t>ÁREA SEMI CRÍTICA</t>
  </si>
  <si>
    <t>ÁREA NÃO CRÍTICA</t>
  </si>
  <si>
    <t>Áreas de circulação</t>
  </si>
  <si>
    <t>1.2</t>
  </si>
  <si>
    <t>Áreas Externa</t>
  </si>
  <si>
    <t>Total</t>
  </si>
  <si>
    <t>TOTAL GERAL</t>
  </si>
  <si>
    <t>Botas de Segurança</t>
  </si>
  <si>
    <t>Camisa</t>
  </si>
  <si>
    <t>Calça</t>
  </si>
  <si>
    <t>Luva de PVC</t>
  </si>
  <si>
    <t>Máscara</t>
  </si>
  <si>
    <t>Valor Total (12 meses)</t>
  </si>
  <si>
    <t xml:space="preserve">Transporte </t>
  </si>
  <si>
    <t>TOTAL MATERIAIS</t>
  </si>
  <si>
    <t xml:space="preserve">Serviço de Limpeza </t>
  </si>
  <si>
    <t>Serviços de Higienização e Limpeza</t>
  </si>
  <si>
    <r>
      <t>N</t>
    </r>
    <r>
      <rPr>
        <strike/>
        <sz val="10"/>
        <rFont val="Calibri"/>
        <family val="2"/>
        <scheme val="minor"/>
      </rPr>
      <t>º</t>
    </r>
    <r>
      <rPr>
        <sz val="10"/>
        <rFont val="Calibri"/>
        <family val="2"/>
        <scheme val="minor"/>
      </rPr>
      <t xml:space="preserve"> de meses de execução contratual</t>
    </r>
  </si>
  <si>
    <t>Adicional de Insalubridade(CONFORME CLAÚSULA 11ª DA CCT)</t>
  </si>
  <si>
    <t>30% sobre o salário mínimo</t>
  </si>
  <si>
    <t>DÉCIMO TERCEIRO SALÁRIO, FÉRIAS E ADICIONAL DE FÉRIAS</t>
  </si>
  <si>
    <t xml:space="preserve">Base de cálculo: De acordo com a instrução normativa nº 05/2017 anexo VII nota 3, a base de cálculo neste módulo deverá ser a soma: MÓDULO 1 + SUBMÓDULO 2.1. </t>
  </si>
  <si>
    <t>Inss</t>
  </si>
  <si>
    <t>Sesi ou Sesc</t>
  </si>
  <si>
    <r>
      <rPr>
        <b/>
        <sz val="10"/>
        <rFont val="Calibri"/>
        <family val="2"/>
        <scheme val="minor"/>
      </rPr>
      <t>Senai ou Senac</t>
    </r>
    <r>
      <rPr>
        <sz val="10"/>
        <rFont val="Calibri"/>
        <family val="2"/>
        <scheme val="minor"/>
      </rPr>
      <t xml:space="preserve"> </t>
    </r>
  </si>
  <si>
    <t xml:space="preserve">Incra </t>
  </si>
  <si>
    <r>
      <rPr>
        <b/>
        <sz val="10"/>
        <rFont val="Calibri"/>
        <family val="2"/>
        <scheme val="minor"/>
      </rPr>
      <t>Salário Educação</t>
    </r>
    <r>
      <rPr>
        <sz val="10"/>
        <rFont val="Calibri"/>
        <family val="2"/>
        <scheme val="minor"/>
      </rPr>
      <t xml:space="preserve"> </t>
    </r>
  </si>
  <si>
    <t xml:space="preserve">Fgts </t>
  </si>
  <si>
    <t>RAT X SAT (Conforme GFIP)</t>
  </si>
  <si>
    <t xml:space="preserve">Sebrae </t>
  </si>
  <si>
    <t xml:space="preserve">BENEFÍCIOS MENSAIS E DIÁRIOS </t>
  </si>
  <si>
    <t>Assistência médica e familiar</t>
  </si>
  <si>
    <t xml:space="preserve">Auxílio creche </t>
  </si>
  <si>
    <t xml:space="preserve">Seguro de vida </t>
  </si>
  <si>
    <t xml:space="preserve"> Quadro-resumo do módulo 2-ENCARGOS E BENEFÍCIOS ANUAIS, MENSAIS E DIÁRIOS</t>
  </si>
  <si>
    <t>13º SALÁRIO, FÉRIAS E ADICIONAL DE FÉRIAS</t>
  </si>
  <si>
    <t>GPS, FGTS E OUTRAS CONTRIBUIÇÕES</t>
  </si>
  <si>
    <t>BENEFÍCIOS DIÁRIOS E MENSAIS</t>
  </si>
  <si>
    <t xml:space="preserve"> MÓDULO 3: PROVISÃO PARA RESCISÃO</t>
  </si>
  <si>
    <t>3.0</t>
  </si>
  <si>
    <t>Aviso Prévio Indenizado</t>
  </si>
  <si>
    <t>Incidência do FGTS sobre Aviso Prévio Indenizado</t>
  </si>
  <si>
    <t>Multa do FGTS e Contribuição Social sobre o Aviso Prévio Indenizado</t>
  </si>
  <si>
    <t>Incidência dos encargos do submódulo 2.2 sobre Aviso Prévio Trabalhado</t>
  </si>
  <si>
    <t xml:space="preserve">Multa do FGTS e Contribuição Social sobre o Aviso Prévio Trabalhado. </t>
  </si>
  <si>
    <t>MÓDULO 4 – CUSTO DE REPOSIÇÃO DO PROFISSIONAL AUSENTE</t>
  </si>
  <si>
    <t>Submódulo 4.1 - Ausências Legais</t>
  </si>
  <si>
    <t>Substituto na Cobertura de Ausências Legais (por doença)</t>
  </si>
  <si>
    <t>Substituto na Cobertura de Licença Paternidade</t>
  </si>
  <si>
    <t>Substituto na Cobertura Por Acidente de Trabalho</t>
  </si>
  <si>
    <t>Substituto na Cobertura de Licença Maternidade</t>
  </si>
  <si>
    <t>TOTAL DO SUBMÓDULO 4.1</t>
  </si>
  <si>
    <t>Submódulo 4.2 - Intrajornada</t>
  </si>
  <si>
    <t>Intervalo para Repouso ou Alimentação</t>
  </si>
  <si>
    <t xml:space="preserve"> QUADRO-RESUMO DO MÓDULO 4 - CUSTO DE REPOSIÇÃO DO PROFISSIONAL AUSENTE</t>
  </si>
  <si>
    <t>TOTAL DO MÓDULO 4</t>
  </si>
  <si>
    <t xml:space="preserve"> MÓDULO 5 – INSUMOS DIVERSOS</t>
  </si>
  <si>
    <t>INSUMOS DIVERSOS</t>
  </si>
  <si>
    <t>Materiais</t>
  </si>
  <si>
    <t>Saúde e Segurança do Trabalhador (CONFORME CLAÚSULA 28ª DA CCT)</t>
  </si>
  <si>
    <t>Treinamento e Capacitação do Trabalhador (CONFORME CLAÚSULA 30ª DA CCT)</t>
  </si>
  <si>
    <t>TOTAL DO MÓDULO 5</t>
  </si>
  <si>
    <t>(M-T)      CUSTO TOTAL DA PLANILHA PARA EFEITO DE CÁLCULO DO MÓDULO 6 (M1+M2+M3+M4)</t>
  </si>
  <si>
    <t xml:space="preserve">MÓDULO 6 – CUSTOS INDIRETOS, TRIBUTOS E LUCRO </t>
  </si>
  <si>
    <t>Módulo 2 – Encargos e Benefícios Anuais, Mensais e Diários</t>
  </si>
  <si>
    <t>Módulo 3 – Provisão para Rescisão</t>
  </si>
  <si>
    <t>Módulo 4 – Custo de Reposição do Profissional Ausente</t>
  </si>
  <si>
    <t>Módulo 5 – Insumos Diversos</t>
  </si>
  <si>
    <t>RO000072/2021</t>
  </si>
  <si>
    <t xml:space="preserve">Auxílio alimentação </t>
  </si>
  <si>
    <t>CBO (5143­20) Agente de Limpeza - diurno</t>
  </si>
  <si>
    <t>Uniformes e EPIs</t>
  </si>
  <si>
    <t xml:space="preserve">C1-A  (PIS 1,65%)   </t>
  </si>
  <si>
    <t>C1. B  (COFINS 7,60%)</t>
  </si>
  <si>
    <t xml:space="preserve">Incidência do Grupo 2.2 </t>
  </si>
  <si>
    <t>Substituto na Cobertura de Férias (1/12 avos)</t>
  </si>
  <si>
    <t>Férias (8,33%) e Adicional de Férias (TR x 2,78%)</t>
  </si>
  <si>
    <t>Incidência do Grupo 2.2</t>
  </si>
  <si>
    <t>1.3</t>
  </si>
  <si>
    <t>VALOR TOTAL</t>
  </si>
  <si>
    <t>Água sanitária</t>
  </si>
  <si>
    <t>Álcool em gel hidratado 90º</t>
  </si>
  <si>
    <t>Desinfetante líquido</t>
  </si>
  <si>
    <t>Detergente líquido</t>
  </si>
  <si>
    <t>Flanela</t>
  </si>
  <si>
    <t>Limpa vidro</t>
  </si>
  <si>
    <t>Lustra móveis (frasco de 200 ml)</t>
  </si>
  <si>
    <t>Pano de chão</t>
  </si>
  <si>
    <t>Pano de Prato</t>
  </si>
  <si>
    <t>Sabonete líquido</t>
  </si>
  <si>
    <t>Removedor</t>
  </si>
  <si>
    <t>Pasta de limpeza a seco</t>
  </si>
  <si>
    <t>Fardo</t>
  </si>
  <si>
    <t>Áreas administrativas</t>
  </si>
  <si>
    <t>TOTAL FUNCIONÁRIOS</t>
  </si>
  <si>
    <t>Rodo</t>
  </si>
  <si>
    <t>Vassoura de pelo</t>
  </si>
  <si>
    <t>Vassoura p/ limpeza de vasos sanitários</t>
  </si>
  <si>
    <t>Balde (15 litros)</t>
  </si>
  <si>
    <t>Vassoura de vasculhar</t>
  </si>
  <si>
    <t>Pá de lixo</t>
  </si>
  <si>
    <t>Escada portátil</t>
  </si>
  <si>
    <t>Esfregão</t>
  </si>
  <si>
    <t xml:space="preserve">ÁREA INTERNA  </t>
  </si>
  <si>
    <t>junho/2021</t>
  </si>
  <si>
    <t>CONTRIBUIÇÃO SINDICAL</t>
  </si>
  <si>
    <t>Touca (Embalagem com 100 Unidades)</t>
  </si>
  <si>
    <t>Contribuição Sindical (CONFORME CLAÚSULA 39ª DA CCT)</t>
  </si>
  <si>
    <t>Áreas operacionais</t>
  </si>
  <si>
    <t>3.1</t>
  </si>
  <si>
    <t>3.2</t>
  </si>
  <si>
    <t>Pisos pavimentados adjacentes ás Edificações</t>
  </si>
  <si>
    <t>CGAF / CAF I / ANEXO do CAF I / CAF II / CENE/NMJ GALPÃO / CAP</t>
  </si>
  <si>
    <t xml:space="preserve">LOTE I </t>
  </si>
  <si>
    <t>Contratação de empresa especializada em prestação de serviços de limpeza, conservação, higienização e desinfecção, com fornecimento de materiais e equipamentos nas dependências do prédio onde funcionam a Coordenadoria de Gestão e Assistência Farmacêutica (CGAF), Central de Abastecimento Farmacêutico​ para Medicamentos (CAF I), Anexo da Central de Abastecimento Farmacêutico​ para Medicamentos (ANEXO DO CAF I), Central de Abastecimento Farmacêutico para Artigos Médico Hospitalar (CAF II), Coordenadoria de Almoxarifado e Patrimônio (CAP), Coordenadoria de Nutrição Enteral (CENE) e Núcleo de Mandados Judiciais - NMJ (GALPÃO), visando à obtenção de adequadas condições de salubridade e higiene, de forma contínua, por um período de 12 (doze) meses, prorrogáveis de acordo com o disposto nos termos da Lei nº. 8.666/93 e suas alterações.</t>
  </si>
  <si>
    <t>JANEIRO/2022</t>
  </si>
  <si>
    <t>RO000003/2022</t>
  </si>
  <si>
    <t>CBO (5143-15) Limpador de Fachada</t>
  </si>
  <si>
    <t>Adicional de Insalubridade</t>
  </si>
  <si>
    <t xml:space="preserve">RAT X SAT (Conforme GFIP) </t>
  </si>
  <si>
    <t>Óculos</t>
  </si>
  <si>
    <t xml:space="preserve">Avental </t>
  </si>
  <si>
    <t>MATERIAL DE LIMPEZA E CONSERVAÇÃO, EQUIPAMENTOS, FERRAMENTAS.</t>
  </si>
  <si>
    <t>Álcool em gel hidratado 70º</t>
  </si>
  <si>
    <t>Litro</t>
  </si>
  <si>
    <t>Frasco</t>
  </si>
  <si>
    <t>Esponja de aço (Pacote de 60g)</t>
  </si>
  <si>
    <t>Esponja de limpeza (mínimo de 10mm x 70 mm x 20mm)</t>
  </si>
  <si>
    <t>Pacote</t>
  </si>
  <si>
    <t>Papel higiênico / fardo com 16 Pct. Com Mín. 04 rolos cada</t>
  </si>
  <si>
    <t>Toalha de papel 23cm x 23cm (Pct com 250 folhas)</t>
  </si>
  <si>
    <t>Cera incolor</t>
  </si>
  <si>
    <t>Saco p/ lixo de 15 litros</t>
  </si>
  <si>
    <t>Saco p/ lixo de 50 litros</t>
  </si>
  <si>
    <t>Saco p/ lixo de 100 litros</t>
  </si>
  <si>
    <t>Bom ar spray</t>
  </si>
  <si>
    <t>Sabão em barra pacote com 5 unidades</t>
  </si>
  <si>
    <t>Luvas Multiuso tamanho M</t>
  </si>
  <si>
    <t>Luvas Multiuso tamanho G</t>
  </si>
  <si>
    <t>Pote</t>
  </si>
  <si>
    <t>Par</t>
  </si>
  <si>
    <t>Consumo Bimestral</t>
  </si>
  <si>
    <t>Vassoura de piaçava</t>
  </si>
  <si>
    <t>Consumo Semestral</t>
  </si>
  <si>
    <t>Espanador</t>
  </si>
  <si>
    <t>Avental impermeável</t>
  </si>
  <si>
    <t>Dispenser de alcóol gel</t>
  </si>
  <si>
    <t>Dispenser de papel toalha</t>
  </si>
  <si>
    <t>Dispenser de papel higiênico</t>
  </si>
  <si>
    <t>Dispenser de sabonete líquido</t>
  </si>
  <si>
    <t>TOTAL EQUIPAMENTOS</t>
  </si>
  <si>
    <t>*Qtd.  CGAF / CAF I</t>
  </si>
  <si>
    <t>*Qtd.      CAF II</t>
  </si>
  <si>
    <t xml:space="preserve">*Qtd.      CENE e NMJ </t>
  </si>
  <si>
    <t>*Qtd.      CAP</t>
  </si>
  <si>
    <t>Quant. Total</t>
  </si>
  <si>
    <t xml:space="preserve">Total </t>
  </si>
  <si>
    <t xml:space="preserve"> SEGURANÇA E SAÚDE DO TRABALHADOR</t>
  </si>
  <si>
    <t xml:space="preserve"> CURSOS E TREINAMENTOS</t>
  </si>
  <si>
    <t xml:space="preserve"> CONTRIBUIÇÃO SINDICAL</t>
  </si>
  <si>
    <t>Saúde e Segurança do Trabalhador (CONFORME CLAÚSULA 29ª DA CCT)</t>
  </si>
  <si>
    <t>Treinamento e Capacitação do Trabalhador (CONFORME CLAÚSULA 31ª DA CCT)</t>
  </si>
  <si>
    <t>01/1.200</t>
  </si>
  <si>
    <t>1/(30x1.200)</t>
  </si>
  <si>
    <t>01/2.500</t>
  </si>
  <si>
    <t>1/(30x2.500)</t>
  </si>
  <si>
    <t>01/1.500</t>
  </si>
  <si>
    <t>1/(30x1.500)</t>
  </si>
  <si>
    <t>01/2.700</t>
  </si>
  <si>
    <t>1/(30x2.700)</t>
  </si>
  <si>
    <t>1/380</t>
  </si>
  <si>
    <t>1/(30x380)</t>
  </si>
  <si>
    <t>40% sobre o salário mínimo</t>
  </si>
  <si>
    <t>Jaleco Manga longa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</si>
</sst>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  <numFmt numFmtId="165" formatCode="0.00000000"/>
    <numFmt numFmtId="166" formatCode="&quot;R$ &quot;#,##0.00"/>
    <numFmt numFmtId="167" formatCode="d/m;@"/>
    <numFmt numFmtId="168" formatCode="0.0000000"/>
    <numFmt numFmtId="169" formatCode="_(&quot;R$ &quot;* #,##0.00_);_(&quot;R$ &quot;* \(#,##0.00\);_(&quot;R$ &quot;* &quot;-&quot;??_);_(@_)"/>
    <numFmt numFmtId="170" formatCode="0.0"/>
    <numFmt numFmtId="171" formatCode="&quot;R$&quot;\ 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000000"/>
      <name val="Verdana"/>
      <family val="2"/>
    </font>
    <font>
      <b/>
      <sz val="16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FF0000"/>
      <name val="Verdana"/>
      <family val="2"/>
    </font>
    <font>
      <sz val="14"/>
      <color rgb="FF000000"/>
      <name val="Times New Roman"/>
      <family val="1"/>
    </font>
    <font>
      <sz val="10"/>
      <color rgb="FF000000"/>
      <name val="Verdana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indexed="10"/>
      <name val="Arial"/>
      <family val="2"/>
    </font>
    <font>
      <b/>
      <sz val="14"/>
      <color indexed="48"/>
      <name val="Trebuchet MS"/>
      <family val="2"/>
    </font>
    <font>
      <b/>
      <sz val="14"/>
      <color indexed="10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350">
    <xf numFmtId="0" fontId="0" fillId="0" borderId="0" xfId="0"/>
    <xf numFmtId="0" fontId="5" fillId="2" borderId="16" xfId="0" applyFont="1" applyFill="1" applyBorder="1" applyAlignment="1">
      <alignment wrapText="1"/>
    </xf>
    <xf numFmtId="0" fontId="5" fillId="2" borderId="17" xfId="0" applyFont="1" applyFill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8" fillId="2" borderId="17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2" borderId="17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/>
    <xf numFmtId="0" fontId="8" fillId="2" borderId="18" xfId="0" applyFont="1" applyFill="1" applyBorder="1" applyAlignment="1">
      <alignment horizontal="center" wrapText="1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0" fontId="0" fillId="0" borderId="18" xfId="0" applyBorder="1"/>
    <xf numFmtId="0" fontId="4" fillId="0" borderId="0" xfId="6" applyAlignment="1" applyProtection="1"/>
    <xf numFmtId="0" fontId="15" fillId="0" borderId="0" xfId="0" applyFont="1" applyAlignment="1">
      <alignment horizontal="center" wrapText="1"/>
    </xf>
    <xf numFmtId="0" fontId="2" fillId="0" borderId="0" xfId="0" applyFont="1"/>
    <xf numFmtId="0" fontId="7" fillId="0" borderId="0" xfId="0" applyFont="1"/>
    <xf numFmtId="0" fontId="17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justify" vertical="center" wrapText="1"/>
    </xf>
    <xf numFmtId="0" fontId="18" fillId="0" borderId="21" xfId="0" applyFont="1" applyFill="1" applyBorder="1" applyAlignment="1">
      <alignment horizontal="justify" vertical="center" wrapText="1"/>
    </xf>
    <xf numFmtId="0" fontId="18" fillId="0" borderId="14" xfId="0" applyFont="1" applyFill="1" applyBorder="1" applyAlignment="1">
      <alignment horizontal="justify" vertical="center" wrapText="1"/>
    </xf>
    <xf numFmtId="0" fontId="18" fillId="0" borderId="13" xfId="0" applyFont="1" applyFill="1" applyBorder="1" applyAlignment="1">
      <alignment horizontal="justify" vertical="center" wrapText="1"/>
    </xf>
    <xf numFmtId="0" fontId="18" fillId="0" borderId="22" xfId="0" applyFont="1" applyFill="1" applyBorder="1" applyAlignment="1">
      <alignment horizontal="justify" vertical="center" wrapText="1"/>
    </xf>
    <xf numFmtId="0" fontId="18" fillId="0" borderId="23" xfId="0" applyFont="1" applyFill="1" applyBorder="1" applyAlignment="1">
      <alignment horizontal="justify" vertical="center" wrapText="1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justify" vertical="center"/>
    </xf>
    <xf numFmtId="0" fontId="19" fillId="2" borderId="0" xfId="0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horizontal="right" vertical="center"/>
    </xf>
    <xf numFmtId="4" fontId="19" fillId="2" borderId="0" xfId="0" applyNumberFormat="1" applyFont="1" applyFill="1" applyBorder="1" applyAlignment="1">
      <alignment horizontal="justify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43" fontId="22" fillId="0" borderId="0" xfId="7" applyFont="1" applyAlignment="1">
      <alignment horizontal="right" vertical="center"/>
    </xf>
    <xf numFmtId="43" fontId="22" fillId="0" borderId="0" xfId="7" applyFont="1" applyAlignment="1">
      <alignment vertical="center"/>
    </xf>
    <xf numFmtId="0" fontId="23" fillId="0" borderId="4" xfId="0" applyFont="1" applyBorder="1" applyAlignment="1">
      <alignment horizontal="left" vertical="center"/>
    </xf>
    <xf numFmtId="43" fontId="23" fillId="0" borderId="4" xfId="7" applyFont="1" applyBorder="1" applyAlignment="1">
      <alignment horizontal="right" vertical="center"/>
    </xf>
    <xf numFmtId="43" fontId="22" fillId="0" borderId="4" xfId="7" applyFont="1" applyBorder="1" applyAlignment="1">
      <alignment horizontal="right" vertical="center"/>
    </xf>
    <xf numFmtId="43" fontId="22" fillId="0" borderId="0" xfId="7" applyFont="1" applyBorder="1" applyAlignment="1">
      <alignment horizontal="right" vertical="center"/>
    </xf>
    <xf numFmtId="43" fontId="22" fillId="0" borderId="4" xfId="7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43" fontId="22" fillId="0" borderId="0" xfId="7" applyFont="1" applyBorder="1" applyAlignment="1">
      <alignment horizontal="right" vertical="center" wrapText="1"/>
    </xf>
    <xf numFmtId="43" fontId="22" fillId="0" borderId="0" xfId="7" applyFont="1" applyBorder="1" applyAlignment="1">
      <alignment vertical="center"/>
    </xf>
    <xf numFmtId="0" fontId="22" fillId="0" borderId="39" xfId="0" applyFont="1" applyBorder="1" applyAlignment="1">
      <alignment horizontal="center" vertical="center" wrapText="1"/>
    </xf>
    <xf numFmtId="43" fontId="22" fillId="0" borderId="0" xfId="7" applyFont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19" fillId="2" borderId="19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vertical="center"/>
    </xf>
    <xf numFmtId="0" fontId="20" fillId="2" borderId="19" xfId="0" applyFont="1" applyFill="1" applyBorder="1" applyAlignment="1">
      <alignment horizontal="center" vertical="center"/>
    </xf>
    <xf numFmtId="165" fontId="20" fillId="2" borderId="19" xfId="0" applyNumberFormat="1" applyFont="1" applyFill="1" applyBorder="1" applyAlignment="1">
      <alignment vertical="center"/>
    </xf>
    <xf numFmtId="166" fontId="20" fillId="2" borderId="19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 wrapText="1"/>
    </xf>
    <xf numFmtId="166" fontId="20" fillId="2" borderId="0" xfId="0" applyNumberFormat="1" applyFont="1" applyFill="1" applyBorder="1" applyAlignment="1">
      <alignment vertical="center"/>
    </xf>
    <xf numFmtId="0" fontId="19" fillId="2" borderId="0" xfId="0" applyFont="1" applyFill="1" applyAlignment="1">
      <alignment horizontal="right" vertical="center"/>
    </xf>
    <xf numFmtId="168" fontId="20" fillId="2" borderId="0" xfId="0" applyNumberFormat="1" applyFont="1" applyFill="1" applyBorder="1" applyAlignment="1">
      <alignment vertical="center"/>
    </xf>
    <xf numFmtId="167" fontId="20" fillId="2" borderId="19" xfId="0" applyNumberFormat="1" applyFont="1" applyFill="1" applyBorder="1" applyAlignment="1">
      <alignment horizontal="center" vertical="center"/>
    </xf>
    <xf numFmtId="168" fontId="20" fillId="2" borderId="19" xfId="0" applyNumberFormat="1" applyFont="1" applyFill="1" applyBorder="1" applyAlignment="1">
      <alignment vertical="center"/>
    </xf>
    <xf numFmtId="165" fontId="20" fillId="2" borderId="0" xfId="0" applyNumberFormat="1" applyFont="1" applyFill="1" applyBorder="1" applyAlignment="1">
      <alignment vertical="center"/>
    </xf>
    <xf numFmtId="43" fontId="19" fillId="0" borderId="0" xfId="7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44" fontId="19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10" fontId="20" fillId="2" borderId="0" xfId="2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 wrapText="1"/>
    </xf>
    <xf numFmtId="43" fontId="22" fillId="0" borderId="4" xfId="7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43" fontId="19" fillId="4" borderId="0" xfId="7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4" fontId="19" fillId="4" borderId="0" xfId="0" applyNumberFormat="1" applyFont="1" applyFill="1" applyBorder="1" applyAlignment="1">
      <alignment vertical="center"/>
    </xf>
    <xf numFmtId="4" fontId="19" fillId="4" borderId="0" xfId="0" applyNumberFormat="1" applyFont="1" applyFill="1" applyAlignment="1">
      <alignment vertical="center"/>
    </xf>
    <xf numFmtId="171" fontId="22" fillId="0" borderId="4" xfId="7" applyNumberFormat="1" applyFont="1" applyFill="1" applyBorder="1" applyAlignment="1">
      <alignment vertical="center"/>
    </xf>
    <xf numFmtId="171" fontId="23" fillId="0" borderId="4" xfId="7" applyNumberFormat="1" applyFont="1" applyFill="1" applyBorder="1" applyAlignment="1">
      <alignment vertical="center"/>
    </xf>
    <xf numFmtId="171" fontId="23" fillId="0" borderId="4" xfId="7" applyNumberFormat="1" applyFont="1" applyBorder="1" applyAlignment="1">
      <alignment vertical="center"/>
    </xf>
    <xf numFmtId="171" fontId="23" fillId="0" borderId="4" xfId="7" applyNumberFormat="1" applyFont="1" applyBorder="1" applyAlignment="1">
      <alignment horizontal="center" vertical="center"/>
    </xf>
    <xf numFmtId="171" fontId="22" fillId="0" borderId="4" xfId="7" applyNumberFormat="1" applyFont="1" applyFill="1" applyBorder="1" applyAlignment="1">
      <alignment horizontal="right" vertical="center"/>
    </xf>
    <xf numFmtId="4" fontId="27" fillId="0" borderId="0" xfId="0" applyNumberFormat="1" applyFont="1"/>
    <xf numFmtId="0" fontId="29" fillId="2" borderId="29" xfId="0" applyFont="1" applyFill="1" applyBorder="1" applyAlignment="1">
      <alignment horizontal="center" vertical="center"/>
    </xf>
    <xf numFmtId="0" fontId="29" fillId="2" borderId="4" xfId="3" applyFont="1" applyFill="1" applyBorder="1" applyAlignment="1">
      <alignment horizontal="right" vertical="center" wrapText="1"/>
    </xf>
    <xf numFmtId="4" fontId="28" fillId="2" borderId="27" xfId="5" applyNumberFormat="1" applyFont="1" applyFill="1" applyBorder="1" applyAlignment="1">
      <alignment horizontal="center" vertical="center" wrapText="1"/>
    </xf>
    <xf numFmtId="0" fontId="29" fillId="2" borderId="4" xfId="4" applyFont="1" applyFill="1" applyBorder="1" applyAlignment="1">
      <alignment horizontal="justify" vertical="center" wrapText="1"/>
    </xf>
    <xf numFmtId="4" fontId="28" fillId="2" borderId="1" xfId="2" applyNumberFormat="1" applyFont="1" applyFill="1" applyBorder="1" applyAlignment="1">
      <alignment vertical="center"/>
    </xf>
    <xf numFmtId="4" fontId="28" fillId="2" borderId="2" xfId="2" applyNumberFormat="1" applyFont="1" applyFill="1" applyBorder="1" applyAlignment="1">
      <alignment vertical="center"/>
    </xf>
    <xf numFmtId="44" fontId="28" fillId="2" borderId="28" xfId="1" applyFont="1" applyFill="1" applyBorder="1" applyAlignment="1">
      <alignment horizontal="right" vertical="center" wrapText="1"/>
    </xf>
    <xf numFmtId="0" fontId="29" fillId="2" borderId="4" xfId="0" applyFont="1" applyFill="1" applyBorder="1" applyAlignment="1">
      <alignment horizontal="justify" vertical="center"/>
    </xf>
    <xf numFmtId="4" fontId="28" fillId="2" borderId="27" xfId="0" applyNumberFormat="1" applyFont="1" applyFill="1" applyBorder="1" applyAlignment="1">
      <alignment vertical="center"/>
    </xf>
    <xf numFmtId="0" fontId="28" fillId="2" borderId="29" xfId="5" applyFont="1" applyFill="1" applyBorder="1" applyAlignment="1">
      <alignment horizontal="center" vertical="center" wrapText="1"/>
    </xf>
    <xf numFmtId="4" fontId="28" fillId="2" borderId="27" xfId="5" applyNumberFormat="1" applyFont="1" applyFill="1" applyBorder="1" applyAlignment="1">
      <alignment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vertical="center"/>
    </xf>
    <xf numFmtId="4" fontId="28" fillId="2" borderId="27" xfId="0" applyNumberFormat="1" applyFont="1" applyFill="1" applyBorder="1" applyAlignment="1">
      <alignment horizontal="right" vertical="center"/>
    </xf>
    <xf numFmtId="4" fontId="28" fillId="2" borderId="27" xfId="0" quotePrefix="1" applyNumberFormat="1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9" fillId="2" borderId="4" xfId="5" applyFont="1" applyFill="1" applyBorder="1" applyAlignment="1">
      <alignment vertical="center" wrapText="1"/>
    </xf>
    <xf numFmtId="0" fontId="29" fillId="2" borderId="29" xfId="5" applyFont="1" applyFill="1" applyBorder="1" applyAlignment="1">
      <alignment horizontal="center" vertical="center" wrapText="1"/>
    </xf>
    <xf numFmtId="0" fontId="28" fillId="2" borderId="4" xfId="5" applyFont="1" applyFill="1" applyBorder="1" applyAlignment="1">
      <alignment vertical="center" wrapText="1"/>
    </xf>
    <xf numFmtId="10" fontId="28" fillId="2" borderId="4" xfId="2" applyNumberFormat="1" applyFont="1" applyFill="1" applyBorder="1" applyAlignment="1">
      <alignment vertical="center"/>
    </xf>
    <xf numFmtId="0" fontId="28" fillId="2" borderId="4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justify" vertical="center"/>
    </xf>
    <xf numFmtId="0" fontId="28" fillId="2" borderId="0" xfId="0" applyFont="1" applyFill="1" applyBorder="1" applyAlignment="1">
      <alignment horizontal="justify" vertical="center"/>
    </xf>
    <xf numFmtId="0" fontId="28" fillId="2" borderId="4" xfId="6" applyFont="1" applyFill="1" applyBorder="1" applyAlignment="1" applyProtection="1">
      <alignment horizontal="justify" vertical="center"/>
    </xf>
    <xf numFmtId="4" fontId="28" fillId="2" borderId="27" xfId="0" quotePrefix="1" applyNumberFormat="1" applyFont="1" applyFill="1" applyBorder="1" applyAlignment="1">
      <alignment horizontal="right" vertical="center"/>
    </xf>
    <xf numFmtId="164" fontId="28" fillId="2" borderId="4" xfId="2" applyNumberFormat="1" applyFont="1" applyFill="1" applyBorder="1" applyAlignment="1">
      <alignment horizontal="justify" vertical="center"/>
    </xf>
    <xf numFmtId="164" fontId="28" fillId="2" borderId="4" xfId="2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4" xfId="2" applyNumberFormat="1" applyFont="1" applyFill="1" applyBorder="1" applyAlignment="1">
      <alignment vertical="center"/>
    </xf>
    <xf numFmtId="0" fontId="28" fillId="2" borderId="1" xfId="5" applyFont="1" applyFill="1" applyBorder="1" applyAlignment="1">
      <alignment horizontal="left" vertical="center" wrapText="1"/>
    </xf>
    <xf numFmtId="4" fontId="28" fillId="2" borderId="27" xfId="1" applyNumberFormat="1" applyFont="1" applyFill="1" applyBorder="1" applyAlignment="1">
      <alignment horizontal="right" vertical="center"/>
    </xf>
    <xf numFmtId="0" fontId="28" fillId="2" borderId="5" xfId="5" applyFont="1" applyFill="1" applyBorder="1" applyAlignment="1">
      <alignment horizontal="left" vertical="center" wrapText="1"/>
    </xf>
    <xf numFmtId="0" fontId="28" fillId="2" borderId="6" xfId="5" applyFont="1" applyFill="1" applyBorder="1" applyAlignment="1">
      <alignment horizontal="left" vertical="center" wrapText="1"/>
    </xf>
    <xf numFmtId="0" fontId="28" fillId="2" borderId="9" xfId="5" applyFont="1" applyFill="1" applyBorder="1" applyAlignment="1">
      <alignment horizontal="left" vertical="center" wrapText="1"/>
    </xf>
    <xf numFmtId="0" fontId="29" fillId="2" borderId="1" xfId="5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justify" vertical="center"/>
    </xf>
    <xf numFmtId="0" fontId="28" fillId="2" borderId="1" xfId="5" applyFont="1" applyFill="1" applyBorder="1" applyAlignment="1">
      <alignment vertical="center"/>
    </xf>
    <xf numFmtId="0" fontId="29" fillId="2" borderId="2" xfId="5" applyFont="1" applyFill="1" applyBorder="1" applyAlignment="1">
      <alignment vertical="center"/>
    </xf>
    <xf numFmtId="0" fontId="29" fillId="2" borderId="4" xfId="5" applyFont="1" applyFill="1" applyBorder="1" applyAlignment="1">
      <alignment vertical="center"/>
    </xf>
    <xf numFmtId="0" fontId="29" fillId="2" borderId="5" xfId="5" applyFont="1" applyFill="1" applyBorder="1" applyAlignment="1">
      <alignment vertical="center" wrapText="1"/>
    </xf>
    <xf numFmtId="0" fontId="28" fillId="2" borderId="6" xfId="0" applyFont="1" applyFill="1" applyBorder="1" applyAlignment="1">
      <alignment horizontal="justify" vertical="center"/>
    </xf>
    <xf numFmtId="10" fontId="28" fillId="2" borderId="15" xfId="2" applyNumberFormat="1" applyFont="1" applyFill="1" applyBorder="1" applyAlignment="1">
      <alignment vertical="center"/>
    </xf>
    <xf numFmtId="4" fontId="28" fillId="2" borderId="34" xfId="0" applyNumberFormat="1" applyFont="1" applyFill="1" applyBorder="1" applyAlignment="1">
      <alignment vertical="center"/>
    </xf>
    <xf numFmtId="0" fontId="28" fillId="2" borderId="10" xfId="5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vertical="center"/>
    </xf>
    <xf numFmtId="10" fontId="28" fillId="2" borderId="11" xfId="0" applyNumberFormat="1" applyFont="1" applyFill="1" applyBorder="1" applyAlignment="1">
      <alignment vertical="center"/>
    </xf>
    <xf numFmtId="4" fontId="28" fillId="2" borderId="12" xfId="0" applyNumberFormat="1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justify" vertical="center"/>
    </xf>
    <xf numFmtId="4" fontId="29" fillId="2" borderId="0" xfId="0" applyNumberFormat="1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justify" vertical="center"/>
    </xf>
    <xf numFmtId="4" fontId="32" fillId="2" borderId="0" xfId="0" applyNumberFormat="1" applyFont="1" applyFill="1" applyBorder="1" applyAlignment="1">
      <alignment horizontal="justify" vertical="center"/>
    </xf>
    <xf numFmtId="4" fontId="28" fillId="6" borderId="27" xfId="0" applyNumberFormat="1" applyFont="1" applyFill="1" applyBorder="1" applyAlignment="1">
      <alignment vertical="center"/>
    </xf>
    <xf numFmtId="10" fontId="28" fillId="6" borderId="4" xfId="2" applyNumberFormat="1" applyFont="1" applyFill="1" applyBorder="1" applyAlignment="1">
      <alignment vertical="center"/>
    </xf>
    <xf numFmtId="164" fontId="28" fillId="6" borderId="4" xfId="2" applyNumberFormat="1" applyFont="1" applyFill="1" applyBorder="1" applyAlignment="1">
      <alignment vertical="center"/>
    </xf>
    <xf numFmtId="10" fontId="28" fillId="6" borderId="4" xfId="5" applyNumberFormat="1" applyFont="1" applyFill="1" applyBorder="1" applyAlignment="1">
      <alignment vertical="center" wrapText="1"/>
    </xf>
    <xf numFmtId="164" fontId="28" fillId="6" borderId="3" xfId="5" applyNumberFormat="1" applyFont="1" applyFill="1" applyBorder="1" applyAlignment="1">
      <alignment vertical="center" wrapText="1"/>
    </xf>
    <xf numFmtId="4" fontId="28" fillId="6" borderId="25" xfId="0" applyNumberFormat="1" applyFont="1" applyFill="1" applyBorder="1" applyAlignment="1">
      <alignment vertical="center"/>
    </xf>
    <xf numFmtId="4" fontId="28" fillId="6" borderId="38" xfId="0" applyNumberFormat="1" applyFont="1" applyFill="1" applyBorder="1" applyAlignment="1">
      <alignment vertical="center"/>
    </xf>
    <xf numFmtId="10" fontId="20" fillId="2" borderId="0" xfId="5" applyNumberFormat="1" applyFont="1" applyFill="1" applyBorder="1" applyAlignment="1">
      <alignment vertical="center" wrapText="1"/>
    </xf>
    <xf numFmtId="0" fontId="33" fillId="0" borderId="0" xfId="0" applyFont="1"/>
    <xf numFmtId="0" fontId="29" fillId="2" borderId="4" xfId="4" applyFont="1" applyFill="1" applyBorder="1" applyAlignment="1">
      <alignment horizontal="justify" vertical="top" wrapText="1"/>
    </xf>
    <xf numFmtId="0" fontId="28" fillId="2" borderId="4" xfId="5" applyFont="1" applyFill="1" applyBorder="1" applyAlignment="1">
      <alignment vertical="top" wrapText="1"/>
    </xf>
    <xf numFmtId="0" fontId="22" fillId="0" borderId="4" xfId="0" applyFont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43" fontId="19" fillId="0" borderId="4" xfId="7" applyFont="1" applyFill="1" applyBorder="1" applyAlignment="1">
      <alignment vertical="center" wrapText="1"/>
    </xf>
    <xf numFmtId="44" fontId="19" fillId="0" borderId="4" xfId="7" applyNumberFormat="1" applyFont="1" applyFill="1" applyBorder="1" applyAlignment="1">
      <alignment vertical="center" wrapText="1"/>
    </xf>
    <xf numFmtId="44" fontId="19" fillId="0" borderId="4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43" fontId="19" fillId="4" borderId="4" xfId="7" applyFont="1" applyFill="1" applyBorder="1" applyAlignment="1">
      <alignment vertical="center" wrapText="1"/>
    </xf>
    <xf numFmtId="0" fontId="34" fillId="0" borderId="4" xfId="0" applyFont="1" applyBorder="1" applyAlignment="1">
      <alignment horizontal="left" vertical="center" wrapText="1"/>
    </xf>
    <xf numFmtId="4" fontId="35" fillId="0" borderId="4" xfId="0" applyNumberFormat="1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 wrapText="1"/>
    </xf>
    <xf numFmtId="44" fontId="20" fillId="0" borderId="4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0" fillId="4" borderId="4" xfId="0" applyFont="1" applyFill="1" applyBorder="1" applyAlignment="1">
      <alignment horizontal="center" vertical="top" wrapText="1"/>
    </xf>
    <xf numFmtId="0" fontId="20" fillId="4" borderId="4" xfId="0" applyFont="1" applyFill="1" applyBorder="1" applyAlignment="1">
      <alignment horizontal="left" vertical="top" wrapText="1"/>
    </xf>
    <xf numFmtId="0" fontId="20" fillId="4" borderId="0" xfId="0" applyFont="1" applyFill="1" applyAlignment="1">
      <alignment vertical="top" wrapText="1"/>
    </xf>
    <xf numFmtId="0" fontId="22" fillId="0" borderId="4" xfId="0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0" fontId="22" fillId="0" borderId="0" xfId="0" applyFont="1" applyAlignment="1">
      <alignment vertical="top"/>
    </xf>
    <xf numFmtId="0" fontId="23" fillId="4" borderId="4" xfId="0" applyFont="1" applyFill="1" applyBorder="1" applyAlignment="1">
      <alignment horizontal="center" vertical="top"/>
    </xf>
    <xf numFmtId="0" fontId="23" fillId="4" borderId="4" xfId="0" applyFont="1" applyFill="1" applyBorder="1" applyAlignment="1">
      <alignment horizontal="left" vertical="top"/>
    </xf>
    <xf numFmtId="170" fontId="23" fillId="4" borderId="4" xfId="0" applyNumberFormat="1" applyFont="1" applyFill="1" applyBorder="1" applyAlignment="1">
      <alignment horizontal="center" vertical="top"/>
    </xf>
    <xf numFmtId="2" fontId="23" fillId="4" borderId="4" xfId="0" applyNumberFormat="1" applyFont="1" applyFill="1" applyBorder="1" applyAlignment="1">
      <alignment horizontal="center" vertical="top"/>
    </xf>
    <xf numFmtId="4" fontId="22" fillId="0" borderId="4" xfId="0" applyNumberFormat="1" applyFont="1" applyBorder="1" applyAlignment="1">
      <alignment horizontal="center" vertical="top"/>
    </xf>
    <xf numFmtId="4" fontId="22" fillId="0" borderId="4" xfId="0" applyNumberFormat="1" applyFont="1" applyBorder="1" applyAlignment="1">
      <alignment vertical="top"/>
    </xf>
    <xf numFmtId="0" fontId="23" fillId="4" borderId="4" xfId="0" applyFont="1" applyFill="1" applyBorder="1" applyAlignment="1">
      <alignment horizontal="left" vertical="top" wrapText="1"/>
    </xf>
    <xf numFmtId="4" fontId="23" fillId="4" borderId="4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vertical="top"/>
    </xf>
    <xf numFmtId="43" fontId="23" fillId="4" borderId="4" xfId="0" applyNumberFormat="1" applyFont="1" applyFill="1" applyBorder="1" applyAlignment="1">
      <alignment horizontal="center" vertical="top"/>
    </xf>
    <xf numFmtId="1" fontId="23" fillId="4" borderId="4" xfId="0" applyNumberFormat="1" applyFont="1" applyFill="1" applyBorder="1" applyAlignment="1">
      <alignment horizontal="center" vertical="top"/>
    </xf>
    <xf numFmtId="0" fontId="20" fillId="4" borderId="0" xfId="0" applyFont="1" applyFill="1" applyAlignment="1">
      <alignment horizontal="center" vertical="center" wrapText="1"/>
    </xf>
    <xf numFmtId="171" fontId="23" fillId="4" borderId="4" xfId="7" applyNumberFormat="1" applyFont="1" applyFill="1" applyBorder="1" applyAlignment="1">
      <alignment vertical="center"/>
    </xf>
    <xf numFmtId="0" fontId="29" fillId="2" borderId="4" xfId="0" applyFont="1" applyFill="1" applyBorder="1" applyAlignment="1">
      <alignment vertical="center" wrapText="1"/>
    </xf>
    <xf numFmtId="44" fontId="26" fillId="4" borderId="4" xfId="0" applyNumberFormat="1" applyFont="1" applyFill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8" fillId="2" borderId="1" xfId="5" applyFont="1" applyFill="1" applyBorder="1" applyAlignment="1">
      <alignment horizontal="left" vertical="center" wrapText="1"/>
    </xf>
    <xf numFmtId="0" fontId="28" fillId="2" borderId="29" xfId="5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171" fontId="22" fillId="0" borderId="4" xfId="7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43" fontId="23" fillId="0" borderId="4" xfId="7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171" fontId="22" fillId="0" borderId="1" xfId="7" applyNumberFormat="1" applyFont="1" applyBorder="1" applyAlignment="1">
      <alignment vertical="center"/>
    </xf>
    <xf numFmtId="43" fontId="23" fillId="0" borderId="4" xfId="7" applyFont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43" fontId="23" fillId="0" borderId="1" xfId="7" applyFont="1" applyBorder="1" applyAlignment="1">
      <alignment horizontal="center" vertical="center" wrapText="1"/>
    </xf>
    <xf numFmtId="169" fontId="22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3" fontId="22" fillId="0" borderId="4" xfId="7" applyNumberFormat="1" applyFont="1" applyFill="1" applyBorder="1" applyAlignment="1">
      <alignment horizontal="center" vertical="center" wrapText="1"/>
    </xf>
    <xf numFmtId="43" fontId="23" fillId="6" borderId="4" xfId="7" applyFont="1" applyFill="1" applyBorder="1" applyAlignment="1">
      <alignment horizontal="center" vertical="center" wrapText="1"/>
    </xf>
    <xf numFmtId="3" fontId="23" fillId="6" borderId="4" xfId="7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2" fillId="6" borderId="4" xfId="0" applyFont="1" applyFill="1" applyBorder="1" applyAlignment="1">
      <alignment horizontal="center" vertical="top"/>
    </xf>
    <xf numFmtId="0" fontId="34" fillId="6" borderId="4" xfId="0" applyFont="1" applyFill="1" applyBorder="1" applyAlignment="1">
      <alignment horizontal="left" vertical="center" wrapText="1"/>
    </xf>
    <xf numFmtId="2" fontId="22" fillId="6" borderId="4" xfId="0" applyNumberFormat="1" applyFont="1" applyFill="1" applyBorder="1" applyAlignment="1">
      <alignment horizontal="center" vertical="top"/>
    </xf>
    <xf numFmtId="0" fontId="22" fillId="6" borderId="0" xfId="0" applyFont="1" applyFill="1" applyAlignment="1">
      <alignment vertical="top"/>
    </xf>
    <xf numFmtId="4" fontId="23" fillId="6" borderId="4" xfId="0" applyNumberFormat="1" applyFont="1" applyFill="1" applyBorder="1" applyAlignment="1">
      <alignment horizontal="center" vertical="top"/>
    </xf>
    <xf numFmtId="43" fontId="23" fillId="4" borderId="4" xfId="0" applyNumberFormat="1" applyFont="1" applyFill="1" applyBorder="1" applyAlignment="1">
      <alignment horizontal="center" vertical="center"/>
    </xf>
    <xf numFmtId="170" fontId="23" fillId="6" borderId="4" xfId="0" applyNumberFormat="1" applyFont="1" applyFill="1" applyBorder="1" applyAlignment="1">
      <alignment horizontal="center" vertical="top"/>
    </xf>
    <xf numFmtId="2" fontId="23" fillId="6" borderId="4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0" xfId="0" applyFont="1" applyAlignment="1">
      <alignment horizontal="justify" wrapText="1"/>
    </xf>
    <xf numFmtId="0" fontId="16" fillId="0" borderId="19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23" fillId="4" borderId="40" xfId="0" applyFont="1" applyFill="1" applyBorder="1" applyAlignment="1">
      <alignment horizontal="left" vertical="center" wrapText="1"/>
    </xf>
    <xf numFmtId="0" fontId="23" fillId="4" borderId="22" xfId="0" applyFont="1" applyFill="1" applyBorder="1" applyAlignment="1">
      <alignment horizontal="left" vertical="center" wrapText="1"/>
    </xf>
    <xf numFmtId="0" fontId="23" fillId="4" borderId="39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42" xfId="0" applyFont="1" applyFill="1" applyBorder="1" applyAlignment="1">
      <alignment horizontal="left" vertical="center" wrapText="1"/>
    </xf>
    <xf numFmtId="0" fontId="23" fillId="4" borderId="21" xfId="0" applyFont="1" applyFill="1" applyBorder="1" applyAlignment="1">
      <alignment horizontal="left" vertical="center" wrapText="1"/>
    </xf>
    <xf numFmtId="0" fontId="23" fillId="4" borderId="41" xfId="0" applyFont="1" applyFill="1" applyBorder="1" applyAlignment="1">
      <alignment horizontal="left" vertical="center" wrapText="1"/>
    </xf>
    <xf numFmtId="0" fontId="23" fillId="4" borderId="20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8" fillId="2" borderId="1" xfId="5" applyFont="1" applyFill="1" applyBorder="1" applyAlignment="1">
      <alignment horizontal="left" vertical="center" wrapText="1"/>
    </xf>
    <xf numFmtId="0" fontId="28" fillId="2" borderId="2" xfId="5" applyFont="1" applyFill="1" applyBorder="1" applyAlignment="1">
      <alignment horizontal="left" vertical="center" wrapText="1"/>
    </xf>
    <xf numFmtId="0" fontId="28" fillId="2" borderId="3" xfId="5" applyFont="1" applyFill="1" applyBorder="1" applyAlignment="1">
      <alignment horizontal="left" vertical="center" wrapText="1"/>
    </xf>
    <xf numFmtId="0" fontId="28" fillId="6" borderId="35" xfId="5" applyFont="1" applyFill="1" applyBorder="1" applyAlignment="1">
      <alignment horizontal="right" vertical="center" wrapText="1"/>
    </xf>
    <xf numFmtId="0" fontId="28" fillId="6" borderId="36" xfId="5" applyFont="1" applyFill="1" applyBorder="1" applyAlignment="1">
      <alignment horizontal="right" vertical="center" wrapText="1"/>
    </xf>
    <xf numFmtId="0" fontId="28" fillId="6" borderId="37" xfId="5" applyFont="1" applyFill="1" applyBorder="1" applyAlignment="1">
      <alignment horizontal="right" vertical="center" wrapText="1"/>
    </xf>
    <xf numFmtId="0" fontId="28" fillId="2" borderId="26" xfId="5" applyFont="1" applyFill="1" applyBorder="1" applyAlignment="1">
      <alignment horizontal="right" vertical="center" wrapText="1"/>
    </xf>
    <xf numFmtId="0" fontId="28" fillId="2" borderId="2" xfId="5" applyFont="1" applyFill="1" applyBorder="1" applyAlignment="1">
      <alignment horizontal="right" vertical="center" wrapText="1"/>
    </xf>
    <xf numFmtId="0" fontId="28" fillId="2" borderId="3" xfId="5" applyFont="1" applyFill="1" applyBorder="1" applyAlignment="1">
      <alignment horizontal="right" vertical="center" wrapText="1"/>
    </xf>
    <xf numFmtId="0" fontId="28" fillId="2" borderId="26" xfId="5" applyFont="1" applyFill="1" applyBorder="1" applyAlignment="1">
      <alignment horizontal="center" vertical="center" wrapText="1"/>
    </xf>
    <xf numFmtId="0" fontId="28" fillId="2" borderId="2" xfId="5" applyFont="1" applyFill="1" applyBorder="1" applyAlignment="1">
      <alignment horizontal="center" vertical="center" wrapText="1"/>
    </xf>
    <xf numFmtId="0" fontId="28" fillId="2" borderId="3" xfId="5" applyFont="1" applyFill="1" applyBorder="1" applyAlignment="1">
      <alignment horizontal="center" vertical="center" wrapText="1"/>
    </xf>
    <xf numFmtId="0" fontId="28" fillId="6" borderId="26" xfId="5" applyFont="1" applyFill="1" applyBorder="1" applyAlignment="1">
      <alignment horizontal="right" vertical="center" wrapText="1"/>
    </xf>
    <xf numFmtId="0" fontId="28" fillId="6" borderId="2" xfId="5" applyFont="1" applyFill="1" applyBorder="1" applyAlignment="1">
      <alignment horizontal="right" vertical="center" wrapText="1"/>
    </xf>
    <xf numFmtId="0" fontId="28" fillId="6" borderId="3" xfId="5" applyFont="1" applyFill="1" applyBorder="1" applyAlignment="1">
      <alignment horizontal="right" vertical="center" wrapText="1"/>
    </xf>
    <xf numFmtId="0" fontId="28" fillId="2" borderId="1" xfId="5" applyFont="1" applyFill="1" applyBorder="1" applyAlignment="1">
      <alignment horizontal="center" vertical="center" wrapText="1"/>
    </xf>
    <xf numFmtId="0" fontId="28" fillId="2" borderId="26" xfId="5" applyFont="1" applyFill="1" applyBorder="1" applyAlignment="1">
      <alignment horizontal="center" vertical="center"/>
    </xf>
    <xf numFmtId="0" fontId="28" fillId="2" borderId="2" xfId="5" applyFont="1" applyFill="1" applyBorder="1" applyAlignment="1">
      <alignment horizontal="center" vertical="center"/>
    </xf>
    <xf numFmtId="0" fontId="28" fillId="2" borderId="3" xfId="5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10" fontId="28" fillId="2" borderId="1" xfId="2" applyNumberFormat="1" applyFont="1" applyFill="1" applyBorder="1" applyAlignment="1">
      <alignment horizontal="right" vertical="center"/>
    </xf>
    <xf numFmtId="10" fontId="28" fillId="2" borderId="3" xfId="2" applyNumberFormat="1" applyFont="1" applyFill="1" applyBorder="1" applyAlignment="1">
      <alignment horizontal="right" vertical="center"/>
    </xf>
    <xf numFmtId="0" fontId="28" fillId="2" borderId="29" xfId="5" applyFont="1" applyFill="1" applyBorder="1" applyAlignment="1">
      <alignment horizontal="center" vertical="center" wrapText="1"/>
    </xf>
    <xf numFmtId="0" fontId="28" fillId="2" borderId="33" xfId="5" applyFont="1" applyFill="1" applyBorder="1" applyAlignment="1">
      <alignment horizontal="center" vertical="center" wrapText="1"/>
    </xf>
    <xf numFmtId="0" fontId="28" fillId="2" borderId="1" xfId="5" applyFont="1" applyFill="1" applyBorder="1" applyAlignment="1">
      <alignment vertical="top" wrapText="1"/>
    </xf>
    <xf numFmtId="0" fontId="28" fillId="2" borderId="3" xfId="5" applyFont="1" applyFill="1" applyBorder="1" applyAlignment="1">
      <alignment vertical="top" wrapText="1"/>
    </xf>
    <xf numFmtId="0" fontId="28" fillId="6" borderId="24" xfId="5" applyFont="1" applyFill="1" applyBorder="1" applyAlignment="1">
      <alignment horizontal="right" vertical="center" wrapText="1"/>
    </xf>
    <xf numFmtId="0" fontId="28" fillId="6" borderId="7" xfId="5" applyFont="1" applyFill="1" applyBorder="1" applyAlignment="1">
      <alignment horizontal="right" vertical="center" wrapText="1"/>
    </xf>
    <xf numFmtId="0" fontId="28" fillId="6" borderId="8" xfId="5" applyFont="1" applyFill="1" applyBorder="1" applyAlignment="1">
      <alignment horizontal="right" vertical="center" wrapText="1"/>
    </xf>
    <xf numFmtId="0" fontId="28" fillId="6" borderId="26" xfId="5" applyFont="1" applyFill="1" applyBorder="1" applyAlignment="1">
      <alignment horizontal="center" vertical="center" wrapText="1"/>
    </xf>
    <xf numFmtId="0" fontId="28" fillId="6" borderId="2" xfId="5" applyFont="1" applyFill="1" applyBorder="1" applyAlignment="1">
      <alignment horizontal="center" vertical="center" wrapText="1"/>
    </xf>
    <xf numFmtId="0" fontId="28" fillId="6" borderId="3" xfId="5" applyFont="1" applyFill="1" applyBorder="1" applyAlignment="1">
      <alignment horizontal="center" vertical="center" wrapText="1"/>
    </xf>
    <xf numFmtId="0" fontId="29" fillId="2" borderId="1" xfId="5" applyFont="1" applyFill="1" applyBorder="1" applyAlignment="1">
      <alignment horizontal="left" vertical="center" wrapText="1"/>
    </xf>
    <xf numFmtId="0" fontId="29" fillId="2" borderId="3" xfId="5" applyFont="1" applyFill="1" applyBorder="1" applyAlignment="1">
      <alignment horizontal="left" vertical="center" wrapText="1"/>
    </xf>
    <xf numFmtId="0" fontId="28" fillId="2" borderId="1" xfId="5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right" vertical="center" wrapText="1"/>
    </xf>
    <xf numFmtId="0" fontId="31" fillId="2" borderId="26" xfId="5" applyFont="1" applyFill="1" applyBorder="1" applyAlignment="1">
      <alignment horizontal="center" vertical="center" wrapText="1"/>
    </xf>
    <xf numFmtId="0" fontId="31" fillId="2" borderId="2" xfId="5" applyFont="1" applyFill="1" applyBorder="1" applyAlignment="1">
      <alignment horizontal="center" vertical="center" wrapText="1"/>
    </xf>
    <xf numFmtId="0" fontId="31" fillId="2" borderId="28" xfId="5" applyFont="1" applyFill="1" applyBorder="1" applyAlignment="1">
      <alignment horizontal="center" vertical="center" wrapText="1"/>
    </xf>
    <xf numFmtId="14" fontId="29" fillId="2" borderId="1" xfId="0" applyNumberFormat="1" applyFont="1" applyFill="1" applyBorder="1" applyAlignment="1">
      <alignment horizontal="right" vertical="center"/>
    </xf>
    <xf numFmtId="14" fontId="29" fillId="2" borderId="2" xfId="0" applyNumberFormat="1" applyFont="1" applyFill="1" applyBorder="1" applyAlignment="1">
      <alignment horizontal="right" vertical="center"/>
    </xf>
    <xf numFmtId="14" fontId="29" fillId="2" borderId="28" xfId="0" applyNumberFormat="1" applyFont="1" applyFill="1" applyBorder="1" applyAlignment="1">
      <alignment horizontal="right" vertical="center"/>
    </xf>
    <xf numFmtId="0" fontId="29" fillId="2" borderId="1" xfId="0" applyFont="1" applyFill="1" applyBorder="1" applyAlignment="1">
      <alignment horizontal="justify" vertical="center"/>
    </xf>
    <xf numFmtId="0" fontId="29" fillId="2" borderId="3" xfId="0" applyFont="1" applyFill="1" applyBorder="1" applyAlignment="1">
      <alignment horizontal="justify" vertical="center"/>
    </xf>
    <xf numFmtId="164" fontId="28" fillId="2" borderId="1" xfId="2" applyNumberFormat="1" applyFont="1" applyFill="1" applyBorder="1" applyAlignment="1">
      <alignment horizontal="justify" vertical="center"/>
    </xf>
    <xf numFmtId="164" fontId="28" fillId="2" borderId="3" xfId="2" applyNumberFormat="1" applyFont="1" applyFill="1" applyBorder="1" applyAlignment="1">
      <alignment horizontal="justify" vertical="center"/>
    </xf>
    <xf numFmtId="0" fontId="29" fillId="2" borderId="1" xfId="4" applyFont="1" applyFill="1" applyBorder="1" applyAlignment="1">
      <alignment horizontal="right" vertical="center" wrapText="1"/>
    </xf>
    <xf numFmtId="0" fontId="29" fillId="2" borderId="2" xfId="4" applyFont="1" applyFill="1" applyBorder="1" applyAlignment="1">
      <alignment horizontal="right" vertical="center" wrapText="1"/>
    </xf>
    <xf numFmtId="0" fontId="29" fillId="2" borderId="28" xfId="4" applyFont="1" applyFill="1" applyBorder="1" applyAlignment="1">
      <alignment horizontal="right" vertical="center" wrapText="1"/>
    </xf>
    <xf numFmtId="0" fontId="21" fillId="4" borderId="13" xfId="3" applyFont="1" applyFill="1" applyBorder="1" applyAlignment="1">
      <alignment horizontal="center" vertical="center" wrapText="1"/>
    </xf>
    <xf numFmtId="0" fontId="21" fillId="4" borderId="11" xfId="3" applyFont="1" applyFill="1" applyBorder="1" applyAlignment="1">
      <alignment horizontal="center" vertical="center" wrapText="1"/>
    </xf>
    <xf numFmtId="0" fontId="21" fillId="4" borderId="14" xfId="3" applyFont="1" applyFill="1" applyBorder="1" applyAlignment="1">
      <alignment horizontal="center" vertical="center" wrapText="1"/>
    </xf>
    <xf numFmtId="0" fontId="28" fillId="2" borderId="24" xfId="3" applyFont="1" applyFill="1" applyBorder="1" applyAlignment="1">
      <alignment horizontal="center" vertical="center"/>
    </xf>
    <xf numFmtId="0" fontId="28" fillId="2" borderId="7" xfId="3" applyFont="1" applyFill="1" applyBorder="1" applyAlignment="1">
      <alignment horizontal="center" vertical="center"/>
    </xf>
    <xf numFmtId="0" fontId="28" fillId="2" borderId="32" xfId="3" applyFont="1" applyFill="1" applyBorder="1" applyAlignment="1">
      <alignment horizontal="center" vertical="center"/>
    </xf>
    <xf numFmtId="49" fontId="29" fillId="2" borderId="1" xfId="3" applyNumberFormat="1" applyFont="1" applyFill="1" applyBorder="1" applyAlignment="1">
      <alignment horizontal="center" vertical="center" wrapText="1"/>
    </xf>
    <xf numFmtId="49" fontId="29" fillId="2" borderId="2" xfId="3" applyNumberFormat="1" applyFont="1" applyFill="1" applyBorder="1" applyAlignment="1">
      <alignment horizontal="center" vertical="center" wrapText="1"/>
    </xf>
    <xf numFmtId="49" fontId="29" fillId="2" borderId="28" xfId="3" applyNumberFormat="1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0" fontId="29" fillId="2" borderId="2" xfId="3" applyFont="1" applyFill="1" applyBorder="1" applyAlignment="1">
      <alignment horizontal="center" vertical="center" wrapText="1"/>
    </xf>
    <xf numFmtId="0" fontId="29" fillId="2" borderId="28" xfId="3" applyFont="1" applyFill="1" applyBorder="1" applyAlignment="1">
      <alignment horizontal="center" vertical="center" wrapText="1"/>
    </xf>
    <xf numFmtId="0" fontId="28" fillId="2" borderId="26" xfId="3" applyFont="1" applyFill="1" applyBorder="1" applyAlignment="1">
      <alignment horizontal="center" vertical="center"/>
    </xf>
    <xf numFmtId="0" fontId="28" fillId="2" borderId="2" xfId="3" applyFont="1" applyFill="1" applyBorder="1" applyAlignment="1">
      <alignment horizontal="center" vertical="center"/>
    </xf>
    <xf numFmtId="0" fontId="28" fillId="2" borderId="28" xfId="3" applyFont="1" applyFill="1" applyBorder="1" applyAlignment="1">
      <alignment horizontal="center" vertical="center"/>
    </xf>
    <xf numFmtId="0" fontId="28" fillId="2" borderId="30" xfId="3" applyFont="1" applyFill="1" applyBorder="1" applyAlignment="1">
      <alignment horizontal="center" vertical="center"/>
    </xf>
    <xf numFmtId="0" fontId="28" fillId="2" borderId="6" xfId="3" applyFont="1" applyFill="1" applyBorder="1" applyAlignment="1">
      <alignment horizontal="center" vertical="center"/>
    </xf>
    <xf numFmtId="0" fontId="28" fillId="2" borderId="31" xfId="3" applyFont="1" applyFill="1" applyBorder="1" applyAlignment="1">
      <alignment horizontal="center" vertical="center"/>
    </xf>
    <xf numFmtId="0" fontId="29" fillId="2" borderId="1" xfId="4" applyFont="1" applyFill="1" applyBorder="1" applyAlignment="1">
      <alignment horizontal="center" vertical="center" wrapText="1"/>
    </xf>
    <xf numFmtId="0" fontId="29" fillId="2" borderId="2" xfId="4" applyFont="1" applyFill="1" applyBorder="1" applyAlignment="1">
      <alignment horizontal="center" vertical="center" wrapText="1"/>
    </xf>
    <xf numFmtId="0" fontId="29" fillId="2" borderId="28" xfId="4" applyFont="1" applyFill="1" applyBorder="1" applyAlignment="1">
      <alignment horizontal="center" vertical="center" wrapText="1"/>
    </xf>
    <xf numFmtId="0" fontId="28" fillId="2" borderId="1" xfId="5" applyFont="1" applyFill="1" applyBorder="1" applyAlignment="1">
      <alignment vertical="center" wrapText="1"/>
    </xf>
    <xf numFmtId="0" fontId="28" fillId="2" borderId="3" xfId="5" applyFont="1" applyFill="1" applyBorder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19" fillId="2" borderId="28" xfId="4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right" vertical="center"/>
    </xf>
    <xf numFmtId="0" fontId="23" fillId="3" borderId="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right" vertical="center" wrapText="1"/>
    </xf>
    <xf numFmtId="0" fontId="23" fillId="0" borderId="4" xfId="0" applyFont="1" applyFill="1" applyBorder="1" applyAlignment="1">
      <alignment horizontal="right" vertical="center" wrapText="1"/>
    </xf>
    <xf numFmtId="43" fontId="23" fillId="4" borderId="4" xfId="7" applyFont="1" applyFill="1" applyBorder="1" applyAlignment="1">
      <alignment horizontal="center" vertical="center"/>
    </xf>
    <xf numFmtId="169" fontId="22" fillId="0" borderId="4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4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 wrapText="1"/>
    </xf>
    <xf numFmtId="0" fontId="20" fillId="4" borderId="41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top"/>
    </xf>
    <xf numFmtId="0" fontId="23" fillId="0" borderId="4" xfId="0" applyFont="1" applyBorder="1" applyAlignment="1">
      <alignment horizontal="center" vertical="top"/>
    </xf>
  </cellXfs>
  <cellStyles count="8">
    <cellStyle name="Hiperlink" xfId="6" builtinId="8"/>
    <cellStyle name="Moeda" xfId="1" builtinId="4"/>
    <cellStyle name="Normal" xfId="0" builtinId="0"/>
    <cellStyle name="Normal 2" xfId="5" xr:uid="{00000000-0005-0000-0000-000003000000}"/>
    <cellStyle name="Normal 4" xfId="3" xr:uid="{00000000-0005-0000-0000-000004000000}"/>
    <cellStyle name="Normal 5" xfId="4" xr:uid="{00000000-0005-0000-0000-000005000000}"/>
    <cellStyle name="Porcentagem" xfId="2" builtinId="5"/>
    <cellStyle name="Vírgula" xfId="7" builtinId="3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0"/>
        <name val="Trebuchet MS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0"/>
        <name val="Trebuchet MS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0"/>
        <name val="Trebuchet MS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2" displayName="Tabela2" ref="A3:B22" totalsRowShown="0" headerRowDxfId="5" headerRowBorderDxfId="4" tableBorderDxfId="3" totalsRowBorderDxfId="2">
  <autoFilter ref="A3:B22" xr:uid="{00000000-0009-0000-0100-000001000000}"/>
  <tableColumns count="2">
    <tableColumn id="1" xr3:uid="{00000000-0010-0000-0000-000001000000}" name="Colunas1" dataDxfId="1"/>
    <tableColumn id="2" xr3:uid="{00000000-0010-0000-0000-000002000000}" name="Colunas2" dataDxfId="0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C:\AppData\Local\Temp\17%20Instrucao%20Normativa%2002_2008%20Servicos%20Continuados\0%20LEGISLACAO%20GERAL\IN%2003_2005%20MSP_SRP\AnexoII_IN03.rt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C:\AppData\Local\Temp\17%20Instrucao%20Normativa%2002_2008%20Servicos%20Continuados\0%20LEGISLACAO%20GERAL\IN%2003_2005%20MSP_SRP\AnexoII_IN03.rt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AppData\Local\Temp\17%20Instrucao%20Normativa%2002_2008%20Servicos%20Continuados\0%20LEGISLACAO%20GERAL\IN%2003_2005%20MSP_SRP\AnexoII_IN03.rt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opLeftCell="B1" zoomScale="145" zoomScaleNormal="145" workbookViewId="0">
      <selection activeCell="E8" sqref="E8"/>
    </sheetView>
  </sheetViews>
  <sheetFormatPr defaultRowHeight="15" x14ac:dyDescent="0.25"/>
  <cols>
    <col min="1" max="1" width="33.85546875" customWidth="1"/>
    <col min="2" max="2" width="15.42578125" customWidth="1"/>
    <col min="3" max="3" width="19.28515625" customWidth="1"/>
    <col min="5" max="5" width="59" customWidth="1"/>
  </cols>
  <sheetData>
    <row r="1" spans="1:5" ht="22.5" x14ac:dyDescent="0.25">
      <c r="E1" s="1" t="s">
        <v>57</v>
      </c>
    </row>
    <row r="2" spans="1:5" ht="21" x14ac:dyDescent="0.35">
      <c r="A2" s="217" t="s">
        <v>58</v>
      </c>
      <c r="B2" s="217"/>
      <c r="C2" s="217"/>
      <c r="E2" s="2" t="s">
        <v>59</v>
      </c>
    </row>
    <row r="3" spans="1:5" ht="174" customHeight="1" x14ac:dyDescent="0.3">
      <c r="A3" s="216" t="s">
        <v>60</v>
      </c>
      <c r="B3" s="216"/>
      <c r="C3" s="216"/>
      <c r="E3" s="4" t="s">
        <v>61</v>
      </c>
    </row>
    <row r="4" spans="1:5" ht="18.75" customHeight="1" thickBot="1" x14ac:dyDescent="0.35">
      <c r="A4" s="5"/>
      <c r="E4" s="6"/>
    </row>
    <row r="5" spans="1:5" ht="15.75" customHeight="1" thickBot="1" x14ac:dyDescent="0.3">
      <c r="A5" s="218" t="s">
        <v>62</v>
      </c>
      <c r="B5" s="219"/>
      <c r="C5" s="220"/>
      <c r="E5" s="7" t="s">
        <v>63</v>
      </c>
    </row>
    <row r="6" spans="1:5" ht="22.5" x14ac:dyDescent="0.25">
      <c r="A6" s="221" t="s">
        <v>64</v>
      </c>
      <c r="B6" s="221" t="s">
        <v>65</v>
      </c>
      <c r="C6" s="8" t="s">
        <v>66</v>
      </c>
      <c r="E6" s="7" t="s">
        <v>67</v>
      </c>
    </row>
    <row r="7" spans="1:5" ht="15.75" customHeight="1" thickBot="1" x14ac:dyDescent="0.3">
      <c r="A7" s="222"/>
      <c r="B7" s="222"/>
      <c r="C7" s="9" t="s">
        <v>68</v>
      </c>
      <c r="E7" s="7" t="s">
        <v>69</v>
      </c>
    </row>
    <row r="8" spans="1:5" ht="15.75" thickBot="1" x14ac:dyDescent="0.3">
      <c r="A8" s="10" t="s">
        <v>70</v>
      </c>
      <c r="B8" s="8">
        <v>30</v>
      </c>
      <c r="C8" s="8">
        <v>7</v>
      </c>
      <c r="D8">
        <f>(7/30)/12</f>
        <v>1.94444444444444E-2</v>
      </c>
      <c r="E8" s="11" t="s">
        <v>71</v>
      </c>
    </row>
    <row r="9" spans="1:5" ht="13.5" customHeight="1" x14ac:dyDescent="0.25">
      <c r="A9" s="12" t="s">
        <v>72</v>
      </c>
      <c r="B9" s="13">
        <v>33</v>
      </c>
      <c r="C9" s="13">
        <v>8</v>
      </c>
      <c r="D9">
        <f>(3/30)/12</f>
        <v>8.3333333333333297E-3</v>
      </c>
    </row>
    <row r="10" spans="1:5" ht="13.5" customHeight="1" x14ac:dyDescent="0.25">
      <c r="A10" s="12" t="s">
        <v>73</v>
      </c>
      <c r="B10" s="13">
        <v>36</v>
      </c>
      <c r="C10" s="13">
        <v>8</v>
      </c>
      <c r="D10">
        <f t="shared" ref="D10:D13" si="0">(3/30)/12</f>
        <v>8.3333333333333297E-3</v>
      </c>
    </row>
    <row r="11" spans="1:5" ht="13.5" customHeight="1" x14ac:dyDescent="0.25">
      <c r="A11" s="12" t="s">
        <v>74</v>
      </c>
      <c r="B11" s="13">
        <v>39</v>
      </c>
      <c r="C11" s="13">
        <v>9</v>
      </c>
      <c r="D11">
        <f t="shared" si="0"/>
        <v>8.3333333333333297E-3</v>
      </c>
    </row>
    <row r="12" spans="1:5" ht="13.5" customHeight="1" x14ac:dyDescent="0.25">
      <c r="A12" s="14" t="s">
        <v>75</v>
      </c>
      <c r="B12" s="15">
        <v>42</v>
      </c>
      <c r="C12" s="15">
        <v>10</v>
      </c>
      <c r="D12">
        <f t="shared" si="0"/>
        <v>8.3333333333333297E-3</v>
      </c>
    </row>
    <row r="13" spans="1:5" ht="13.5" customHeight="1" x14ac:dyDescent="0.25">
      <c r="A13" s="12" t="s">
        <v>76</v>
      </c>
      <c r="B13" s="13">
        <v>45</v>
      </c>
      <c r="C13" s="13">
        <v>11</v>
      </c>
      <c r="D13">
        <f t="shared" si="0"/>
        <v>8.3333333333333297E-3</v>
      </c>
      <c r="E13" t="s">
        <v>98</v>
      </c>
    </row>
    <row r="14" spans="1:5" x14ac:dyDescent="0.25">
      <c r="A14" s="12" t="s">
        <v>77</v>
      </c>
      <c r="B14" s="13">
        <v>48</v>
      </c>
      <c r="C14" s="13">
        <v>11</v>
      </c>
      <c r="E14" t="s">
        <v>56</v>
      </c>
    </row>
    <row r="15" spans="1:5" x14ac:dyDescent="0.25">
      <c r="A15" s="12" t="s">
        <v>78</v>
      </c>
      <c r="B15" s="13">
        <v>51</v>
      </c>
      <c r="C15" s="13">
        <v>12</v>
      </c>
    </row>
    <row r="16" spans="1:5" x14ac:dyDescent="0.25">
      <c r="A16" s="12" t="s">
        <v>79</v>
      </c>
      <c r="B16" s="13">
        <v>54</v>
      </c>
      <c r="C16" s="13">
        <v>13</v>
      </c>
    </row>
    <row r="17" spans="1:5" x14ac:dyDescent="0.25">
      <c r="A17" s="12" t="s">
        <v>80</v>
      </c>
      <c r="B17" s="13">
        <v>57</v>
      </c>
      <c r="C17" s="13">
        <v>13</v>
      </c>
    </row>
    <row r="18" spans="1:5" x14ac:dyDescent="0.25">
      <c r="A18" s="12" t="s">
        <v>81</v>
      </c>
      <c r="B18" s="13">
        <v>60</v>
      </c>
      <c r="C18" s="13">
        <v>14</v>
      </c>
    </row>
    <row r="19" spans="1:5" x14ac:dyDescent="0.25">
      <c r="A19" s="12" t="s">
        <v>82</v>
      </c>
      <c r="B19" s="13">
        <v>63</v>
      </c>
      <c r="C19" s="13">
        <v>15</v>
      </c>
    </row>
    <row r="20" spans="1:5" x14ac:dyDescent="0.25">
      <c r="A20" s="12" t="s">
        <v>83</v>
      </c>
      <c r="B20" s="13">
        <v>66</v>
      </c>
      <c r="C20" s="13">
        <v>15</v>
      </c>
    </row>
    <row r="21" spans="1:5" x14ac:dyDescent="0.25">
      <c r="A21" s="12" t="s">
        <v>84</v>
      </c>
      <c r="B21" s="13">
        <v>69</v>
      </c>
      <c r="C21" s="13">
        <v>16</v>
      </c>
    </row>
    <row r="22" spans="1:5" x14ac:dyDescent="0.25">
      <c r="A22" s="12" t="s">
        <v>85</v>
      </c>
      <c r="B22" s="13">
        <v>72</v>
      </c>
      <c r="C22" s="13">
        <v>17</v>
      </c>
    </row>
    <row r="23" spans="1:5" x14ac:dyDescent="0.25">
      <c r="A23" s="12" t="s">
        <v>86</v>
      </c>
      <c r="B23" s="13">
        <v>75</v>
      </c>
      <c r="C23" s="13">
        <v>18</v>
      </c>
    </row>
    <row r="24" spans="1:5" x14ac:dyDescent="0.25">
      <c r="A24" s="12" t="s">
        <v>87</v>
      </c>
      <c r="B24" s="13">
        <v>78</v>
      </c>
      <c r="C24" s="13">
        <v>18</v>
      </c>
    </row>
    <row r="25" spans="1:5" x14ac:dyDescent="0.25">
      <c r="A25" s="12" t="s">
        <v>88</v>
      </c>
      <c r="B25" s="13">
        <v>81</v>
      </c>
      <c r="C25" s="13">
        <v>19</v>
      </c>
    </row>
    <row r="26" spans="1:5" x14ac:dyDescent="0.25">
      <c r="A26" s="12" t="s">
        <v>89</v>
      </c>
      <c r="B26" s="13">
        <v>84</v>
      </c>
      <c r="C26" s="13">
        <v>20</v>
      </c>
    </row>
    <row r="27" spans="1:5" x14ac:dyDescent="0.25">
      <c r="A27" s="12" t="s">
        <v>90</v>
      </c>
      <c r="B27" s="13">
        <v>87</v>
      </c>
      <c r="C27" s="13">
        <v>20</v>
      </c>
    </row>
    <row r="28" spans="1:5" ht="15.75" thickBot="1" x14ac:dyDescent="0.3">
      <c r="A28" s="16" t="s">
        <v>91</v>
      </c>
      <c r="B28" s="9">
        <v>90</v>
      </c>
      <c r="C28" s="9">
        <v>21</v>
      </c>
      <c r="E28" s="17" t="s">
        <v>92</v>
      </c>
    </row>
    <row r="29" spans="1:5" ht="18.75" x14ac:dyDescent="0.3">
      <c r="A29" s="5"/>
    </row>
    <row r="30" spans="1:5" ht="145.5" customHeight="1" x14ac:dyDescent="0.3">
      <c r="A30" s="223" t="s">
        <v>93</v>
      </c>
      <c r="B30" s="223"/>
      <c r="C30" s="223"/>
    </row>
    <row r="31" spans="1:5" ht="18.75" x14ac:dyDescent="0.3">
      <c r="A31" s="5"/>
    </row>
    <row r="32" spans="1:5" ht="18.75" x14ac:dyDescent="0.3">
      <c r="A32" s="18" t="s">
        <v>94</v>
      </c>
    </row>
    <row r="33" spans="1:3" ht="18.75" x14ac:dyDescent="0.3">
      <c r="A33" s="5"/>
    </row>
    <row r="34" spans="1:3" x14ac:dyDescent="0.25">
      <c r="A34" s="216" t="s">
        <v>95</v>
      </c>
      <c r="B34" s="216"/>
      <c r="C34" s="216"/>
    </row>
    <row r="35" spans="1:3" x14ac:dyDescent="0.25">
      <c r="A35" s="216"/>
      <c r="B35" s="216"/>
      <c r="C35" s="216"/>
    </row>
    <row r="36" spans="1:3" x14ac:dyDescent="0.25">
      <c r="A36" s="216" t="s">
        <v>96</v>
      </c>
      <c r="B36" s="216"/>
      <c r="C36" s="216"/>
    </row>
    <row r="37" spans="1:3" x14ac:dyDescent="0.25">
      <c r="A37" s="216"/>
      <c r="B37" s="216"/>
      <c r="C37" s="216"/>
    </row>
    <row r="40" spans="1:3" x14ac:dyDescent="0.25">
      <c r="A40" s="19" t="s">
        <v>97</v>
      </c>
    </row>
  </sheetData>
  <mergeCells count="8">
    <mergeCell ref="A34:C35"/>
    <mergeCell ref="A36:C37"/>
    <mergeCell ref="A2:C2"/>
    <mergeCell ref="A3:C3"/>
    <mergeCell ref="A5:C5"/>
    <mergeCell ref="A6:A7"/>
    <mergeCell ref="B6:B7"/>
    <mergeCell ref="A30:C30"/>
  </mergeCells>
  <hyperlinks>
    <hyperlink ref="E28" location="'ADAPTAÇÃO A IN 06_13'!B77" display="VOLTAR PLANILHA PRINCIPAL" xr:uid="{00000000-0004-0000-0000-000000000000}"/>
  </hyperlink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52"/>
  <sheetViews>
    <sheetView showGridLines="0" view="pageBreakPreview" zoomScaleNormal="100" zoomScaleSheetLayoutView="100" zoomScalePageLayoutView="70" workbookViewId="0">
      <selection activeCell="F34" sqref="F34"/>
    </sheetView>
  </sheetViews>
  <sheetFormatPr defaultColWidth="9.140625" defaultRowHeight="15.75" x14ac:dyDescent="0.25"/>
  <cols>
    <col min="1" max="1" width="2.7109375" style="50" customWidth="1"/>
    <col min="2" max="2" width="13" style="50" customWidth="1"/>
    <col min="3" max="3" width="31.28515625" style="50" customWidth="1"/>
    <col min="4" max="4" width="22.28515625" style="50" customWidth="1"/>
    <col min="5" max="5" width="14" style="50" customWidth="1"/>
    <col min="6" max="6" width="16.5703125" style="50" customWidth="1"/>
    <col min="7" max="7" width="13.7109375" style="50" customWidth="1"/>
    <col min="8" max="8" width="15.5703125" style="50" customWidth="1"/>
    <col min="9" max="9" width="10.42578125" style="50" customWidth="1"/>
    <col min="10" max="16384" width="9.140625" style="50"/>
  </cols>
  <sheetData>
    <row r="1" spans="2:7" ht="16.5" thickBot="1" x14ac:dyDescent="0.3">
      <c r="B1" s="57"/>
      <c r="C1" s="57"/>
      <c r="E1" s="56"/>
      <c r="F1" s="58"/>
      <c r="G1" s="59"/>
    </row>
    <row r="2" spans="2:7" ht="16.5" thickBot="1" x14ac:dyDescent="0.3">
      <c r="B2" s="342" t="s">
        <v>297</v>
      </c>
      <c r="C2" s="343"/>
      <c r="D2" s="343"/>
      <c r="E2" s="343"/>
      <c r="F2" s="344"/>
      <c r="G2" s="59"/>
    </row>
    <row r="3" spans="2:7" ht="16.5" thickBot="1" x14ac:dyDescent="0.3">
      <c r="B3" s="57"/>
      <c r="C3" s="57"/>
      <c r="E3" s="56"/>
      <c r="F3" s="58"/>
      <c r="G3" s="59"/>
    </row>
    <row r="4" spans="2:7" ht="16.5" thickBot="1" x14ac:dyDescent="0.3">
      <c r="B4" s="345" t="s">
        <v>287</v>
      </c>
      <c r="C4" s="346"/>
      <c r="D4" s="346"/>
      <c r="E4" s="346"/>
      <c r="F4" s="347"/>
      <c r="G4" s="59"/>
    </row>
    <row r="5" spans="2:7" ht="63.75" thickBot="1" x14ac:dyDescent="0.3">
      <c r="B5" s="51" t="s">
        <v>142</v>
      </c>
      <c r="C5" s="338" t="s">
        <v>185</v>
      </c>
      <c r="D5" s="339"/>
      <c r="E5" s="51" t="s">
        <v>143</v>
      </c>
      <c r="F5" s="51" t="s">
        <v>186</v>
      </c>
      <c r="G5" s="59"/>
    </row>
    <row r="6" spans="2:7" ht="16.5" thickBot="1" x14ac:dyDescent="0.3">
      <c r="B6" s="52" t="s">
        <v>144</v>
      </c>
      <c r="C6" s="61" t="s">
        <v>356</v>
      </c>
      <c r="D6" s="54">
        <f>1/1200</f>
        <v>8.3332999999999996E-4</v>
      </c>
      <c r="E6" s="55">
        <f>'Auxiliar de limpeza - diurno'!E113</f>
        <v>0</v>
      </c>
      <c r="F6" s="55">
        <f>E6*D6</f>
        <v>0</v>
      </c>
      <c r="G6" s="59"/>
    </row>
    <row r="7" spans="2:7" ht="16.5" thickBot="1" x14ac:dyDescent="0.3">
      <c r="B7" s="52" t="s">
        <v>145</v>
      </c>
      <c r="C7" s="53" t="s">
        <v>357</v>
      </c>
      <c r="D7" s="54">
        <f>1/(30*1200)</f>
        <v>2.7780000000000002E-5</v>
      </c>
      <c r="E7" s="55">
        <v>0</v>
      </c>
      <c r="F7" s="55">
        <f>E7*D7</f>
        <v>0</v>
      </c>
      <c r="G7" s="59"/>
    </row>
    <row r="8" spans="2:7" ht="16.5" thickBot="1" x14ac:dyDescent="0.3">
      <c r="E8" s="56" t="s">
        <v>146</v>
      </c>
      <c r="F8" s="55">
        <f>SUM(F6:F7)</f>
        <v>0</v>
      </c>
      <c r="G8" s="59"/>
    </row>
    <row r="9" spans="2:7" ht="16.5" thickBot="1" x14ac:dyDescent="0.3">
      <c r="B9" s="57"/>
      <c r="C9" s="57"/>
      <c r="E9" s="56"/>
      <c r="F9" s="58"/>
      <c r="G9" s="59"/>
    </row>
    <row r="10" spans="2:7" ht="16.5" thickBot="1" x14ac:dyDescent="0.3">
      <c r="B10" s="345" t="s">
        <v>302</v>
      </c>
      <c r="C10" s="346"/>
      <c r="D10" s="346"/>
      <c r="E10" s="346"/>
      <c r="F10" s="347"/>
      <c r="G10" s="59"/>
    </row>
    <row r="11" spans="2:7" ht="63.75" thickBot="1" x14ac:dyDescent="0.3">
      <c r="B11" s="51" t="s">
        <v>142</v>
      </c>
      <c r="C11" s="338" t="s">
        <v>185</v>
      </c>
      <c r="D11" s="339"/>
      <c r="E11" s="51" t="s">
        <v>143</v>
      </c>
      <c r="F11" s="51" t="s">
        <v>186</v>
      </c>
      <c r="G11" s="59"/>
    </row>
    <row r="12" spans="2:7" ht="16.5" thickBot="1" x14ac:dyDescent="0.3">
      <c r="B12" s="52" t="s">
        <v>144</v>
      </c>
      <c r="C12" s="61" t="s">
        <v>358</v>
      </c>
      <c r="D12" s="54">
        <f>1/2500</f>
        <v>4.0000000000000002E-4</v>
      </c>
      <c r="E12" s="55">
        <f>'Auxiliar de limpeza - diurno'!E113</f>
        <v>0</v>
      </c>
      <c r="F12" s="55">
        <f>E12*D12</f>
        <v>0</v>
      </c>
      <c r="G12" s="59"/>
    </row>
    <row r="13" spans="2:7" ht="16.5" thickBot="1" x14ac:dyDescent="0.3">
      <c r="B13" s="52" t="s">
        <v>145</v>
      </c>
      <c r="C13" s="53" t="s">
        <v>359</v>
      </c>
      <c r="D13" s="54">
        <f>1/(30*2500)</f>
        <v>1.3329999999999999E-5</v>
      </c>
      <c r="E13" s="55">
        <v>0</v>
      </c>
      <c r="F13" s="55">
        <f>E13*D13</f>
        <v>0</v>
      </c>
      <c r="G13" s="59"/>
    </row>
    <row r="14" spans="2:7" ht="16.5" thickBot="1" x14ac:dyDescent="0.3">
      <c r="E14" s="56" t="s">
        <v>146</v>
      </c>
      <c r="F14" s="55">
        <f>SUM(F12:F13)</f>
        <v>0</v>
      </c>
      <c r="G14" s="59"/>
    </row>
    <row r="15" spans="2:7" ht="16.5" thickBot="1" x14ac:dyDescent="0.3">
      <c r="B15" s="57"/>
      <c r="C15" s="57"/>
      <c r="E15" s="56"/>
      <c r="F15" s="58"/>
      <c r="G15" s="59"/>
    </row>
    <row r="16" spans="2:7" ht="16.5" thickBot="1" x14ac:dyDescent="0.3">
      <c r="B16" s="345" t="s">
        <v>196</v>
      </c>
      <c r="C16" s="346"/>
      <c r="D16" s="346"/>
      <c r="E16" s="346"/>
      <c r="F16" s="347"/>
      <c r="G16" s="59"/>
    </row>
    <row r="17" spans="2:9" ht="63.75" thickBot="1" x14ac:dyDescent="0.3">
      <c r="B17" s="51" t="s">
        <v>142</v>
      </c>
      <c r="C17" s="338" t="s">
        <v>185</v>
      </c>
      <c r="D17" s="339"/>
      <c r="E17" s="51" t="s">
        <v>143</v>
      </c>
      <c r="F17" s="51" t="s">
        <v>186</v>
      </c>
      <c r="G17" s="59"/>
    </row>
    <row r="18" spans="2:9" ht="16.5" thickBot="1" x14ac:dyDescent="0.3">
      <c r="B18" s="52" t="s">
        <v>144</v>
      </c>
      <c r="C18" s="61" t="s">
        <v>360</v>
      </c>
      <c r="D18" s="54">
        <f>1/1500</f>
        <v>6.6666999999999996E-4</v>
      </c>
      <c r="E18" s="55">
        <f>'Auxiliar de limpeza - diurno'!E113</f>
        <v>0</v>
      </c>
      <c r="F18" s="55">
        <f>E18*D18</f>
        <v>0</v>
      </c>
      <c r="G18" s="59"/>
    </row>
    <row r="19" spans="2:9" ht="16.5" thickBot="1" x14ac:dyDescent="0.3">
      <c r="B19" s="52" t="s">
        <v>145</v>
      </c>
      <c r="C19" s="53" t="s">
        <v>361</v>
      </c>
      <c r="D19" s="54">
        <f>1/(30*1500)</f>
        <v>2.2220000000000001E-5</v>
      </c>
      <c r="E19" s="55">
        <v>0</v>
      </c>
      <c r="F19" s="55">
        <f>E19*D19</f>
        <v>0</v>
      </c>
      <c r="G19" s="59"/>
    </row>
    <row r="20" spans="2:9" ht="16.5" thickBot="1" x14ac:dyDescent="0.3">
      <c r="E20" s="56" t="s">
        <v>146</v>
      </c>
      <c r="F20" s="55">
        <f>SUM(F18:F19)</f>
        <v>0</v>
      </c>
      <c r="G20" s="59"/>
    </row>
    <row r="21" spans="2:9" ht="16.5" thickBot="1" x14ac:dyDescent="0.3">
      <c r="B21" s="57"/>
      <c r="C21" s="57"/>
      <c r="E21" s="56"/>
      <c r="F21" s="58"/>
      <c r="G21" s="59"/>
    </row>
    <row r="22" spans="2:9" ht="16.5" thickBot="1" x14ac:dyDescent="0.3">
      <c r="B22" s="342" t="s">
        <v>147</v>
      </c>
      <c r="C22" s="343"/>
      <c r="D22" s="343"/>
      <c r="E22" s="343"/>
      <c r="F22" s="344"/>
      <c r="G22" s="59"/>
    </row>
    <row r="23" spans="2:9" ht="16.5" thickBot="1" x14ac:dyDescent="0.3">
      <c r="B23" s="57"/>
      <c r="C23" s="57"/>
      <c r="E23" s="56"/>
      <c r="F23" s="58"/>
      <c r="G23" s="59"/>
    </row>
    <row r="24" spans="2:9" ht="16.5" thickBot="1" x14ac:dyDescent="0.3">
      <c r="B24" s="345" t="s">
        <v>165</v>
      </c>
      <c r="C24" s="346"/>
      <c r="D24" s="346"/>
      <c r="E24" s="346"/>
      <c r="F24" s="347"/>
    </row>
    <row r="25" spans="2:9" ht="63.75" thickBot="1" x14ac:dyDescent="0.3">
      <c r="B25" s="51" t="s">
        <v>142</v>
      </c>
      <c r="C25" s="338" t="s">
        <v>185</v>
      </c>
      <c r="D25" s="339"/>
      <c r="E25" s="51" t="s">
        <v>143</v>
      </c>
      <c r="F25" s="51" t="s">
        <v>186</v>
      </c>
      <c r="G25" s="59"/>
      <c r="H25" s="50" t="s">
        <v>133</v>
      </c>
    </row>
    <row r="26" spans="2:9" ht="16.5" thickBot="1" x14ac:dyDescent="0.3">
      <c r="B26" s="52" t="s">
        <v>144</v>
      </c>
      <c r="C26" s="61" t="s">
        <v>362</v>
      </c>
      <c r="D26" s="54">
        <f>1/2700</f>
        <v>3.7037000000000002E-4</v>
      </c>
      <c r="E26" s="55">
        <f>'Auxiliar de limpeza - diurno'!E113</f>
        <v>0</v>
      </c>
      <c r="F26" s="55">
        <f>E26*D26</f>
        <v>0</v>
      </c>
      <c r="G26" s="59"/>
    </row>
    <row r="27" spans="2:9" ht="16.5" thickBot="1" x14ac:dyDescent="0.3">
      <c r="B27" s="52" t="s">
        <v>145</v>
      </c>
      <c r="C27" s="53" t="s">
        <v>363</v>
      </c>
      <c r="D27" s="54">
        <f>1/(30*2700)</f>
        <v>1.235E-5</v>
      </c>
      <c r="E27" s="55">
        <v>0</v>
      </c>
      <c r="F27" s="55">
        <f>E27*D27</f>
        <v>0</v>
      </c>
      <c r="G27" s="59"/>
    </row>
    <row r="28" spans="2:9" ht="16.5" thickBot="1" x14ac:dyDescent="0.3">
      <c r="E28" s="56" t="s">
        <v>146</v>
      </c>
      <c r="F28" s="55">
        <f>SUM(F26:F27)</f>
        <v>0</v>
      </c>
    </row>
    <row r="29" spans="2:9" ht="16.5" thickBot="1" x14ac:dyDescent="0.3">
      <c r="E29" s="56"/>
      <c r="F29" s="58"/>
    </row>
    <row r="30" spans="2:9" ht="16.5" customHeight="1" thickBot="1" x14ac:dyDescent="0.3">
      <c r="B30" s="342" t="s">
        <v>148</v>
      </c>
      <c r="C30" s="343"/>
      <c r="D30" s="343"/>
      <c r="E30" s="343"/>
      <c r="F30" s="343"/>
      <c r="G30" s="343"/>
      <c r="H30" s="343"/>
      <c r="I30" s="344"/>
    </row>
    <row r="31" spans="2:9" ht="16.5" customHeight="1" thickBot="1" x14ac:dyDescent="0.3">
      <c r="B31" s="340" t="s">
        <v>163</v>
      </c>
      <c r="C31" s="341"/>
      <c r="D31" s="341"/>
      <c r="E31" s="341"/>
      <c r="F31" s="341"/>
      <c r="G31" s="341"/>
      <c r="H31" s="341"/>
      <c r="I31" s="341"/>
    </row>
    <row r="32" spans="2:9" ht="79.5" thickBot="1" x14ac:dyDescent="0.3">
      <c r="B32" s="51" t="s">
        <v>142</v>
      </c>
      <c r="C32" s="338" t="s">
        <v>185</v>
      </c>
      <c r="D32" s="339"/>
      <c r="E32" s="51" t="s">
        <v>149</v>
      </c>
      <c r="F32" s="51" t="s">
        <v>150</v>
      </c>
      <c r="G32" s="51" t="s">
        <v>151</v>
      </c>
      <c r="H32" s="51" t="s">
        <v>152</v>
      </c>
      <c r="I32" s="51" t="s">
        <v>187</v>
      </c>
    </row>
    <row r="33" spans="2:9" ht="16.5" thickBot="1" x14ac:dyDescent="0.3">
      <c r="B33" s="52" t="s">
        <v>144</v>
      </c>
      <c r="C33" s="53" t="s">
        <v>364</v>
      </c>
      <c r="D33" s="54">
        <f>1/380</f>
        <v>2.6315800000000001E-3</v>
      </c>
      <c r="E33" s="52">
        <v>16</v>
      </c>
      <c r="F33" s="52">
        <f>1/188.76</f>
        <v>5.2977325704598403E-3</v>
      </c>
      <c r="G33" s="62">
        <f>D33*E33*F33</f>
        <v>2.231E-4</v>
      </c>
      <c r="H33" s="55">
        <f>'Limpador de fachada'!E113</f>
        <v>0</v>
      </c>
      <c r="I33" s="55">
        <f>H33*G33</f>
        <v>0</v>
      </c>
    </row>
    <row r="34" spans="2:9" ht="16.5" thickBot="1" x14ac:dyDescent="0.3">
      <c r="B34" s="52" t="s">
        <v>145</v>
      </c>
      <c r="C34" s="53" t="s">
        <v>365</v>
      </c>
      <c r="D34" s="54">
        <f>1/(30*380)</f>
        <v>8.7719999999999994E-5</v>
      </c>
      <c r="E34" s="52">
        <v>16</v>
      </c>
      <c r="F34" s="52">
        <f>1/188.76</f>
        <v>5.2977325704598403E-3</v>
      </c>
      <c r="G34" s="62">
        <f>D34*E34*F34</f>
        <v>7.4000000000000003E-6</v>
      </c>
      <c r="H34" s="55">
        <f>E27</f>
        <v>0</v>
      </c>
      <c r="I34" s="55">
        <f>ROUND(G34*H34,2)</f>
        <v>0</v>
      </c>
    </row>
    <row r="35" spans="2:9" ht="16.5" thickBot="1" x14ac:dyDescent="0.3">
      <c r="B35" s="29"/>
      <c r="C35" s="29"/>
      <c r="D35" s="63"/>
      <c r="E35" s="29"/>
      <c r="F35" s="29"/>
      <c r="G35" s="60"/>
      <c r="H35" s="56" t="s">
        <v>146</v>
      </c>
      <c r="I35" s="55">
        <f>SUM(I33:I34)</f>
        <v>0</v>
      </c>
    </row>
    <row r="36" spans="2:9" ht="16.5" thickBot="1" x14ac:dyDescent="0.3">
      <c r="B36" s="29"/>
      <c r="C36" s="29"/>
      <c r="D36" s="63"/>
      <c r="E36" s="29"/>
      <c r="F36" s="29"/>
      <c r="G36" s="29"/>
    </row>
    <row r="37" spans="2:9" ht="16.5" customHeight="1" thickBot="1" x14ac:dyDescent="0.3">
      <c r="B37" s="345" t="s">
        <v>164</v>
      </c>
      <c r="C37" s="346"/>
      <c r="D37" s="346"/>
      <c r="E37" s="346"/>
      <c r="F37" s="346"/>
      <c r="G37" s="346"/>
      <c r="H37" s="346"/>
      <c r="I37" s="347"/>
    </row>
    <row r="38" spans="2:9" ht="79.5" thickBot="1" x14ac:dyDescent="0.3">
      <c r="B38" s="51" t="s">
        <v>142</v>
      </c>
      <c r="C38" s="338" t="s">
        <v>185</v>
      </c>
      <c r="D38" s="339"/>
      <c r="E38" s="51" t="s">
        <v>149</v>
      </c>
      <c r="F38" s="51" t="s">
        <v>150</v>
      </c>
      <c r="G38" s="51" t="s">
        <v>151</v>
      </c>
      <c r="H38" s="51" t="s">
        <v>152</v>
      </c>
      <c r="I38" s="51" t="s">
        <v>187</v>
      </c>
    </row>
    <row r="39" spans="2:9" ht="16.5" thickBot="1" x14ac:dyDescent="0.3">
      <c r="B39" s="52" t="s">
        <v>144</v>
      </c>
      <c r="C39" s="53" t="s">
        <v>364</v>
      </c>
      <c r="D39" s="54">
        <f>1/380</f>
        <v>2.6315800000000001E-3</v>
      </c>
      <c r="E39" s="52">
        <v>16</v>
      </c>
      <c r="F39" s="52">
        <f>1/188.76</f>
        <v>5.2977325704598403E-3</v>
      </c>
      <c r="G39" s="62">
        <f>D39*E39*F39</f>
        <v>2.231E-4</v>
      </c>
      <c r="H39" s="55">
        <f>'Limpador de fachada'!E113</f>
        <v>0</v>
      </c>
      <c r="I39" s="55">
        <f>H39*G39</f>
        <v>0</v>
      </c>
    </row>
    <row r="40" spans="2:9" ht="16.5" thickBot="1" x14ac:dyDescent="0.3">
      <c r="B40" s="52" t="s">
        <v>145</v>
      </c>
      <c r="C40" s="53" t="s">
        <v>365</v>
      </c>
      <c r="D40" s="54">
        <f>1/(30*380)</f>
        <v>8.7719999999999994E-5</v>
      </c>
      <c r="E40" s="52">
        <v>16</v>
      </c>
      <c r="F40" s="52">
        <f>1/188.76</f>
        <v>5.2977325704598403E-3</v>
      </c>
      <c r="G40" s="62">
        <f>D40*E40*F40</f>
        <v>7.4000000000000003E-6</v>
      </c>
      <c r="H40" s="55">
        <f>H34</f>
        <v>0</v>
      </c>
      <c r="I40" s="55">
        <f>ROUND(G40*H40,2)</f>
        <v>0</v>
      </c>
    </row>
    <row r="41" spans="2:9" ht="16.5" thickBot="1" x14ac:dyDescent="0.3">
      <c r="B41" s="29"/>
      <c r="C41" s="29"/>
      <c r="D41" s="63"/>
      <c r="E41" s="29"/>
      <c r="F41" s="29"/>
      <c r="G41" s="60"/>
      <c r="H41" s="56" t="s">
        <v>146</v>
      </c>
      <c r="I41" s="55">
        <f>SUM(I39:I40)</f>
        <v>0</v>
      </c>
    </row>
    <row r="42" spans="2:9" x14ac:dyDescent="0.25">
      <c r="B42" s="29"/>
      <c r="C42" s="29"/>
      <c r="D42" s="63"/>
      <c r="E42" s="29"/>
      <c r="F42" s="29"/>
      <c r="G42" s="29"/>
    </row>
    <row r="43" spans="2:9" x14ac:dyDescent="0.25">
      <c r="B43" s="29"/>
      <c r="C43" s="29"/>
      <c r="D43" s="63"/>
      <c r="E43" s="29"/>
      <c r="F43" s="29"/>
      <c r="G43" s="60"/>
      <c r="H43" s="56"/>
      <c r="I43" s="58"/>
    </row>
    <row r="44" spans="2:9" x14ac:dyDescent="0.25">
      <c r="B44" s="57"/>
      <c r="C44" s="57"/>
      <c r="E44" s="56"/>
      <c r="F44" s="58"/>
      <c r="G44" s="59"/>
    </row>
    <row r="50" spans="2:6" s="28" customFormat="1" x14ac:dyDescent="0.25">
      <c r="B50" s="31"/>
      <c r="C50" s="30"/>
      <c r="D50" s="30"/>
      <c r="E50" s="30"/>
      <c r="F50" s="32"/>
    </row>
    <row r="51" spans="2:6" s="28" customFormat="1" ht="15.75" customHeight="1" x14ac:dyDescent="0.25">
      <c r="B51" s="67"/>
      <c r="E51" s="30"/>
      <c r="F51" s="33"/>
    </row>
    <row r="52" spans="2:6" s="28" customFormat="1" x14ac:dyDescent="0.25">
      <c r="B52" s="67"/>
      <c r="E52" s="30"/>
      <c r="F52" s="33" t="s">
        <v>133</v>
      </c>
    </row>
  </sheetData>
  <mergeCells count="15">
    <mergeCell ref="B2:F2"/>
    <mergeCell ref="B4:F4"/>
    <mergeCell ref="C5:D5"/>
    <mergeCell ref="B10:F10"/>
    <mergeCell ref="B24:F24"/>
    <mergeCell ref="C25:D25"/>
    <mergeCell ref="B22:F22"/>
    <mergeCell ref="C11:D11"/>
    <mergeCell ref="B16:F16"/>
    <mergeCell ref="C17:D17"/>
    <mergeCell ref="C38:D38"/>
    <mergeCell ref="C32:D32"/>
    <mergeCell ref="B31:I31"/>
    <mergeCell ref="B30:I30"/>
    <mergeCell ref="B37:I37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L19"/>
  <sheetViews>
    <sheetView showGridLines="0" view="pageBreakPreview" zoomScale="60" zoomScaleNormal="100" workbookViewId="0">
      <selection activeCell="I13" sqref="I13"/>
    </sheetView>
  </sheetViews>
  <sheetFormatPr defaultRowHeight="15" x14ac:dyDescent="0.25"/>
  <cols>
    <col min="2" max="2" width="50.140625" customWidth="1"/>
    <col min="3" max="3" width="15.5703125" customWidth="1"/>
    <col min="4" max="4" width="15.140625" bestFit="1" customWidth="1"/>
    <col min="5" max="5" width="17" customWidth="1"/>
    <col min="6" max="6" width="1.85546875" customWidth="1"/>
    <col min="7" max="7" width="11.28515625" customWidth="1"/>
    <col min="8" max="8" width="16.140625" customWidth="1"/>
    <col min="9" max="9" width="15" customWidth="1"/>
    <col min="10" max="10" width="12" bestFit="1" customWidth="1"/>
  </cols>
  <sheetData>
    <row r="2" spans="1:12" ht="15.75" x14ac:dyDescent="0.25">
      <c r="A2" s="349" t="s">
        <v>306</v>
      </c>
      <c r="B2" s="349"/>
      <c r="C2" s="349"/>
      <c r="D2" s="349"/>
      <c r="E2" s="349"/>
      <c r="F2" s="166"/>
      <c r="G2" s="349" t="s">
        <v>190</v>
      </c>
      <c r="H2" s="349"/>
      <c r="I2" s="349"/>
    </row>
    <row r="3" spans="1:12" ht="46.5" customHeight="1" x14ac:dyDescent="0.25">
      <c r="A3" s="151" t="s">
        <v>191</v>
      </c>
      <c r="B3" s="151" t="s">
        <v>192</v>
      </c>
      <c r="C3" s="151" t="s">
        <v>193</v>
      </c>
      <c r="D3" s="151" t="s">
        <v>194</v>
      </c>
      <c r="E3" s="151" t="s">
        <v>195</v>
      </c>
      <c r="F3" s="184"/>
      <c r="G3" s="151" t="s">
        <v>193</v>
      </c>
      <c r="H3" s="151" t="s">
        <v>194</v>
      </c>
      <c r="I3" s="151" t="s">
        <v>195</v>
      </c>
    </row>
    <row r="4" spans="1:12" ht="15.75" x14ac:dyDescent="0.25">
      <c r="A4" s="167">
        <v>1</v>
      </c>
      <c r="B4" s="168" t="s">
        <v>167</v>
      </c>
      <c r="C4" s="167"/>
      <c r="D4" s="167"/>
      <c r="E4" s="167"/>
      <c r="F4" s="169"/>
      <c r="G4" s="167"/>
      <c r="H4" s="167"/>
      <c r="I4" s="167"/>
    </row>
    <row r="5" spans="1:12" ht="15.75" x14ac:dyDescent="0.25">
      <c r="A5" s="170"/>
      <c r="B5" s="161" t="s">
        <v>287</v>
      </c>
      <c r="C5" s="171">
        <v>0</v>
      </c>
      <c r="D5" s="171">
        <v>0</v>
      </c>
      <c r="E5" s="178">
        <f>resumo!D12</f>
        <v>1639</v>
      </c>
      <c r="F5" s="172"/>
      <c r="G5" s="171">
        <f>C5/350</f>
        <v>0</v>
      </c>
      <c r="H5" s="171">
        <f>D5/450</f>
        <v>0</v>
      </c>
      <c r="I5" s="171">
        <f>E5/1200</f>
        <v>1.37</v>
      </c>
    </row>
    <row r="6" spans="1:12" ht="15.75" x14ac:dyDescent="0.25">
      <c r="A6" s="170"/>
      <c r="B6" s="161" t="s">
        <v>302</v>
      </c>
      <c r="C6" s="171">
        <v>0</v>
      </c>
      <c r="D6" s="171">
        <v>0</v>
      </c>
      <c r="E6" s="178">
        <f>resumo!D13</f>
        <v>6868</v>
      </c>
      <c r="F6" s="172"/>
      <c r="G6" s="171">
        <v>0</v>
      </c>
      <c r="H6" s="171">
        <v>0</v>
      </c>
      <c r="I6" s="171">
        <f>E6/2500</f>
        <v>2.75</v>
      </c>
    </row>
    <row r="7" spans="1:12" ht="15.75" x14ac:dyDescent="0.25">
      <c r="A7" s="170"/>
      <c r="B7" s="161" t="s">
        <v>196</v>
      </c>
      <c r="C7" s="171">
        <v>0</v>
      </c>
      <c r="D7" s="171">
        <v>0</v>
      </c>
      <c r="E7" s="178">
        <f>resumo!D14</f>
        <v>397</v>
      </c>
      <c r="F7" s="172"/>
      <c r="G7" s="171">
        <f>C7/500</f>
        <v>0</v>
      </c>
      <c r="H7" s="171">
        <f>D7/650</f>
        <v>0</v>
      </c>
      <c r="I7" s="171">
        <f>E7/1500</f>
        <v>0.26</v>
      </c>
    </row>
    <row r="8" spans="1:12" ht="15.75" x14ac:dyDescent="0.25">
      <c r="A8" s="208"/>
      <c r="B8" s="209"/>
      <c r="C8" s="212">
        <f t="shared" ref="C8:D8" si="0">SUM(C5:C7)</f>
        <v>0</v>
      </c>
      <c r="D8" s="212">
        <f t="shared" si="0"/>
        <v>0</v>
      </c>
      <c r="E8" s="212">
        <f>SUM(E5:E7)</f>
        <v>8904</v>
      </c>
      <c r="F8" s="211"/>
      <c r="G8" s="210"/>
      <c r="H8" s="215" t="s">
        <v>31</v>
      </c>
      <c r="I8" s="215">
        <f>SUM(I5:I7)</f>
        <v>4.38</v>
      </c>
    </row>
    <row r="9" spans="1:12" ht="15.75" x14ac:dyDescent="0.25">
      <c r="A9" s="173">
        <v>2</v>
      </c>
      <c r="B9" s="179" t="s">
        <v>198</v>
      </c>
      <c r="C9" s="173"/>
      <c r="D9" s="173"/>
      <c r="E9" s="180"/>
      <c r="F9" s="181"/>
      <c r="G9" s="175"/>
      <c r="H9" s="175"/>
      <c r="I9" s="176"/>
    </row>
    <row r="10" spans="1:12" ht="15.75" x14ac:dyDescent="0.25">
      <c r="A10" s="170"/>
      <c r="B10" s="161" t="s">
        <v>305</v>
      </c>
      <c r="C10" s="171">
        <v>0</v>
      </c>
      <c r="D10" s="171">
        <v>0</v>
      </c>
      <c r="E10" s="177">
        <v>332</v>
      </c>
      <c r="F10" s="172"/>
      <c r="G10" s="171">
        <f>C10/500</f>
        <v>0</v>
      </c>
      <c r="H10" s="171">
        <f>D10/650</f>
        <v>0</v>
      </c>
      <c r="I10" s="171">
        <f>E10/2700</f>
        <v>0.12</v>
      </c>
    </row>
    <row r="11" spans="1:12" ht="15.75" x14ac:dyDescent="0.25">
      <c r="A11" s="208"/>
      <c r="B11" s="209"/>
      <c r="C11" s="212">
        <f t="shared" ref="C11:D11" si="1">SUM(C8:C10)</f>
        <v>0</v>
      </c>
      <c r="D11" s="212">
        <f t="shared" si="1"/>
        <v>0</v>
      </c>
      <c r="E11" s="212">
        <f>SUM(E10)</f>
        <v>332</v>
      </c>
      <c r="F11" s="211"/>
      <c r="G11" s="210"/>
      <c r="H11" s="215" t="s">
        <v>31</v>
      </c>
      <c r="I11" s="215">
        <f>SUM(I10)</f>
        <v>0.12</v>
      </c>
    </row>
    <row r="12" spans="1:12" ht="15.75" x14ac:dyDescent="0.25">
      <c r="A12" s="173">
        <v>3</v>
      </c>
      <c r="B12" s="179" t="s">
        <v>162</v>
      </c>
      <c r="C12" s="180"/>
      <c r="D12" s="180"/>
      <c r="E12" s="180"/>
      <c r="F12" s="181"/>
      <c r="G12" s="175"/>
      <c r="H12" s="175"/>
      <c r="I12" s="176"/>
    </row>
    <row r="13" spans="1:12" ht="15.75" x14ac:dyDescent="0.25">
      <c r="A13" s="170"/>
      <c r="B13" s="161" t="s">
        <v>163</v>
      </c>
      <c r="C13" s="171">
        <v>0</v>
      </c>
      <c r="D13" s="171">
        <v>0</v>
      </c>
      <c r="E13" s="177">
        <v>111</v>
      </c>
      <c r="F13" s="172"/>
      <c r="G13" s="171">
        <f t="shared" ref="G13:G14" si="2">C13/500</f>
        <v>0</v>
      </c>
      <c r="H13" s="171">
        <f t="shared" ref="H13:H14" si="3">D13/650</f>
        <v>0</v>
      </c>
      <c r="I13" s="171">
        <f>E13/380</f>
        <v>0.28999999999999998</v>
      </c>
      <c r="J13" s="147"/>
      <c r="K13" s="147"/>
      <c r="L13" s="147"/>
    </row>
    <row r="14" spans="1:12" ht="15.75" x14ac:dyDescent="0.25">
      <c r="A14" s="170"/>
      <c r="B14" s="161" t="s">
        <v>164</v>
      </c>
      <c r="C14" s="171">
        <v>0</v>
      </c>
      <c r="D14" s="171">
        <v>0</v>
      </c>
      <c r="E14" s="177">
        <v>111</v>
      </c>
      <c r="F14" s="172"/>
      <c r="G14" s="171">
        <f t="shared" si="2"/>
        <v>0</v>
      </c>
      <c r="H14" s="171">
        <f t="shared" si="3"/>
        <v>0</v>
      </c>
      <c r="I14" s="171">
        <f>E14/380</f>
        <v>0.28999999999999998</v>
      </c>
      <c r="J14" s="147"/>
      <c r="K14" s="147"/>
      <c r="L14" s="147"/>
    </row>
    <row r="15" spans="1:12" ht="15.75" x14ac:dyDescent="0.25">
      <c r="A15" s="208"/>
      <c r="B15" s="209"/>
      <c r="C15" s="212">
        <f t="shared" ref="C15:D15" si="4">SUM(C12:C14)</f>
        <v>0</v>
      </c>
      <c r="D15" s="212">
        <f t="shared" si="4"/>
        <v>0</v>
      </c>
      <c r="E15" s="212">
        <f>SUM(E12:E14)</f>
        <v>222</v>
      </c>
      <c r="F15" s="211"/>
      <c r="G15" s="210"/>
      <c r="H15" s="214" t="s">
        <v>31</v>
      </c>
      <c r="I15" s="215">
        <f>SUM(I13:I14)</f>
        <v>0.57999999999999996</v>
      </c>
      <c r="J15" s="147"/>
      <c r="K15" s="147"/>
      <c r="L15" s="147"/>
    </row>
    <row r="16" spans="1:12" ht="15.75" x14ac:dyDescent="0.25">
      <c r="A16" s="173"/>
      <c r="B16" s="174" t="s">
        <v>199</v>
      </c>
      <c r="C16" s="182">
        <f>C8+C11+C15</f>
        <v>0</v>
      </c>
      <c r="D16" s="182">
        <f t="shared" ref="D16" si="5">D8+D11+D15</f>
        <v>0</v>
      </c>
      <c r="E16" s="213">
        <f>E8+E11+E15</f>
        <v>9458</v>
      </c>
      <c r="F16" s="166"/>
      <c r="G16" s="348" t="s">
        <v>200</v>
      </c>
      <c r="H16" s="348"/>
      <c r="I16" s="183">
        <f>I8+I11+I15</f>
        <v>5</v>
      </c>
      <c r="J16" s="147"/>
      <c r="K16" s="147"/>
      <c r="L16" s="147"/>
    </row>
    <row r="17" spans="4:9" x14ac:dyDescent="0.25">
      <c r="D17" s="84" t="e">
        <f>'M2'!H39/'M2'!I39</f>
        <v>#DIV/0!</v>
      </c>
    </row>
    <row r="19" spans="4:9" ht="15.75" x14ac:dyDescent="0.25">
      <c r="E19" s="348" t="s">
        <v>288</v>
      </c>
      <c r="F19" s="348"/>
      <c r="G19" s="348"/>
      <c r="H19" s="348"/>
      <c r="I19" s="183">
        <f>I16</f>
        <v>5</v>
      </c>
    </row>
  </sheetData>
  <mergeCells count="4">
    <mergeCell ref="G16:H16"/>
    <mergeCell ref="G2:I2"/>
    <mergeCell ref="A2:E2"/>
    <mergeCell ref="E19:H19"/>
  </mergeCells>
  <pageMargins left="0.51181102362204722" right="0.51181102362204722" top="0.78740157480314965" bottom="0.78740157480314965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topLeftCell="A7" workbookViewId="0">
      <selection activeCell="E8" sqref="E8"/>
    </sheetView>
  </sheetViews>
  <sheetFormatPr defaultColWidth="42.85546875" defaultRowHeight="18.75" x14ac:dyDescent="0.3"/>
  <cols>
    <col min="1" max="1" width="42.85546875" style="3"/>
    <col min="2" max="2" width="72.5703125" style="3" customWidth="1"/>
    <col min="3" max="16384" width="42.85546875" style="20"/>
  </cols>
  <sheetData>
    <row r="1" spans="1:2" ht="19.5" thickBot="1" x14ac:dyDescent="0.35">
      <c r="A1" s="224" t="s">
        <v>99</v>
      </c>
      <c r="B1" s="224"/>
    </row>
    <row r="2" spans="1:2" ht="19.5" thickBot="1" x14ac:dyDescent="0.35">
      <c r="A2" s="21" t="s">
        <v>100</v>
      </c>
      <c r="B2" s="21" t="s">
        <v>101</v>
      </c>
    </row>
    <row r="3" spans="1:2" ht="19.5" thickBot="1" x14ac:dyDescent="0.35">
      <c r="A3" s="22" t="s">
        <v>102</v>
      </c>
      <c r="B3" s="23" t="s">
        <v>103</v>
      </c>
    </row>
    <row r="4" spans="1:2" ht="57" thickBot="1" x14ac:dyDescent="0.35">
      <c r="A4" s="24" t="s">
        <v>104</v>
      </c>
      <c r="B4" s="25" t="s">
        <v>105</v>
      </c>
    </row>
    <row r="5" spans="1:2" ht="19.5" thickBot="1" x14ac:dyDescent="0.35">
      <c r="A5" s="24" t="s">
        <v>106</v>
      </c>
      <c r="B5" s="25" t="s">
        <v>107</v>
      </c>
    </row>
    <row r="6" spans="1:2" ht="94.5" thickBot="1" x14ac:dyDescent="0.35">
      <c r="A6" s="24" t="s">
        <v>108</v>
      </c>
      <c r="B6" s="25" t="s">
        <v>109</v>
      </c>
    </row>
    <row r="7" spans="1:2" ht="38.25" thickBot="1" x14ac:dyDescent="0.35">
      <c r="A7" s="24" t="s">
        <v>110</v>
      </c>
      <c r="B7" s="25" t="s">
        <v>111</v>
      </c>
    </row>
    <row r="8" spans="1:2" ht="19.5" thickBot="1" x14ac:dyDescent="0.35">
      <c r="A8" s="24" t="s">
        <v>112</v>
      </c>
      <c r="B8" s="25" t="s">
        <v>113</v>
      </c>
    </row>
    <row r="9" spans="1:2" ht="38.25" thickBot="1" x14ac:dyDescent="0.35">
      <c r="A9" s="24" t="s">
        <v>114</v>
      </c>
      <c r="B9" s="25" t="s">
        <v>115</v>
      </c>
    </row>
    <row r="10" spans="1:2" ht="57" thickBot="1" x14ac:dyDescent="0.35">
      <c r="A10" s="24" t="s">
        <v>116</v>
      </c>
      <c r="B10" s="25" t="s">
        <v>117</v>
      </c>
    </row>
    <row r="11" spans="1:2" ht="75.75" thickBot="1" x14ac:dyDescent="0.35">
      <c r="A11" s="24" t="s">
        <v>118</v>
      </c>
      <c r="B11" s="25" t="s">
        <v>119</v>
      </c>
    </row>
    <row r="12" spans="1:2" ht="57" thickBot="1" x14ac:dyDescent="0.35">
      <c r="A12" s="24" t="s">
        <v>116</v>
      </c>
      <c r="B12" s="25" t="s">
        <v>120</v>
      </c>
    </row>
    <row r="13" spans="1:2" ht="38.25" thickBot="1" x14ac:dyDescent="0.35">
      <c r="A13" s="24" t="s">
        <v>116</v>
      </c>
      <c r="B13" s="25" t="s">
        <v>121</v>
      </c>
    </row>
    <row r="14" spans="1:2" ht="57" thickBot="1" x14ac:dyDescent="0.35">
      <c r="A14" s="24" t="s">
        <v>116</v>
      </c>
      <c r="B14" s="25" t="s">
        <v>122</v>
      </c>
    </row>
    <row r="15" spans="1:2" ht="19.5" thickBot="1" x14ac:dyDescent="0.35">
      <c r="A15" s="24" t="s">
        <v>116</v>
      </c>
      <c r="B15" s="25" t="s">
        <v>123</v>
      </c>
    </row>
    <row r="16" spans="1:2" ht="38.25" thickBot="1" x14ac:dyDescent="0.35">
      <c r="A16" s="24" t="s">
        <v>124</v>
      </c>
      <c r="B16" s="25" t="s">
        <v>125</v>
      </c>
    </row>
    <row r="17" spans="1:2" ht="38.25" thickBot="1" x14ac:dyDescent="0.35">
      <c r="A17" s="24" t="s">
        <v>126</v>
      </c>
      <c r="B17" s="25" t="s">
        <v>127</v>
      </c>
    </row>
    <row r="18" spans="1:2" ht="38.25" thickBot="1" x14ac:dyDescent="0.35">
      <c r="A18" s="24" t="s">
        <v>116</v>
      </c>
      <c r="B18" s="25" t="s">
        <v>128</v>
      </c>
    </row>
    <row r="19" spans="1:2" ht="57" thickBot="1" x14ac:dyDescent="0.35">
      <c r="A19" s="24" t="s">
        <v>116</v>
      </c>
      <c r="B19" s="25" t="s">
        <v>129</v>
      </c>
    </row>
    <row r="20" spans="1:2" ht="38.25" thickBot="1" x14ac:dyDescent="0.35">
      <c r="A20" s="24" t="s">
        <v>116</v>
      </c>
      <c r="B20" s="25" t="s">
        <v>130</v>
      </c>
    </row>
    <row r="21" spans="1:2" ht="57" thickBot="1" x14ac:dyDescent="0.35">
      <c r="A21" s="24" t="s">
        <v>116</v>
      </c>
      <c r="B21" s="25" t="s">
        <v>131</v>
      </c>
    </row>
    <row r="22" spans="1:2" x14ac:dyDescent="0.3">
      <c r="A22" s="26" t="s">
        <v>116</v>
      </c>
      <c r="B22" s="27" t="s">
        <v>132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25"/>
  <sheetViews>
    <sheetView tabSelected="1" view="pageBreakPreview" topLeftCell="A11" zoomScaleNormal="100" zoomScaleSheetLayoutView="100" zoomScalePageLayoutView="70" workbookViewId="0">
      <selection activeCell="R20" sqref="R20"/>
    </sheetView>
  </sheetViews>
  <sheetFormatPr defaultColWidth="9.140625" defaultRowHeight="15.75" x14ac:dyDescent="0.25"/>
  <cols>
    <col min="1" max="1" width="6.5703125" style="66" customWidth="1"/>
    <col min="2" max="2" width="55" style="67" customWidth="1"/>
    <col min="3" max="3" width="13.85546875" style="65" customWidth="1"/>
    <col min="4" max="4" width="19.140625" style="66" customWidth="1"/>
    <col min="5" max="5" width="18.7109375" style="68" customWidth="1"/>
    <col min="6" max="6" width="21.28515625" style="68" customWidth="1"/>
    <col min="7" max="7" width="23.28515625" style="68" customWidth="1"/>
    <col min="8" max="8" width="0" style="64" hidden="1" customWidth="1"/>
    <col min="9" max="9" width="9.85546875" style="65" hidden="1" customWidth="1"/>
    <col min="10" max="12" width="9.85546875" style="66" hidden="1" customWidth="1"/>
    <col min="13" max="13" width="0" style="66" hidden="1" customWidth="1"/>
    <col min="14" max="14" width="10.140625" style="66" hidden="1" customWidth="1"/>
    <col min="15" max="16384" width="9.140625" style="66"/>
  </cols>
  <sheetData>
    <row r="1" spans="1:41" ht="16.5" thickBot="1" x14ac:dyDescent="0.3"/>
    <row r="2" spans="1:41" x14ac:dyDescent="0.25">
      <c r="A2" s="229" t="s">
        <v>308</v>
      </c>
      <c r="B2" s="230"/>
      <c r="C2" s="230"/>
      <c r="D2" s="230"/>
      <c r="E2" s="230"/>
      <c r="F2" s="230"/>
      <c r="G2" s="231"/>
    </row>
    <row r="3" spans="1:41" x14ac:dyDescent="0.25">
      <c r="A3" s="232"/>
      <c r="B3" s="233"/>
      <c r="C3" s="233"/>
      <c r="D3" s="233"/>
      <c r="E3" s="233"/>
      <c r="F3" s="233"/>
      <c r="G3" s="234"/>
    </row>
    <row r="4" spans="1:41" x14ac:dyDescent="0.25">
      <c r="A4" s="232"/>
      <c r="B4" s="233"/>
      <c r="C4" s="233"/>
      <c r="D4" s="233"/>
      <c r="E4" s="233"/>
      <c r="F4" s="233"/>
      <c r="G4" s="234"/>
    </row>
    <row r="5" spans="1:41" x14ac:dyDescent="0.25">
      <c r="A5" s="232"/>
      <c r="B5" s="233"/>
      <c r="C5" s="233"/>
      <c r="D5" s="233"/>
      <c r="E5" s="233"/>
      <c r="F5" s="233"/>
      <c r="G5" s="234"/>
    </row>
    <row r="6" spans="1:41" x14ac:dyDescent="0.25">
      <c r="A6" s="232"/>
      <c r="B6" s="233"/>
      <c r="C6" s="233"/>
      <c r="D6" s="233"/>
      <c r="E6" s="233"/>
      <c r="F6" s="233"/>
      <c r="G6" s="234"/>
    </row>
    <row r="7" spans="1:41" ht="22.5" customHeight="1" thickBot="1" x14ac:dyDescent="0.3">
      <c r="A7" s="235"/>
      <c r="B7" s="236"/>
      <c r="C7" s="236"/>
      <c r="D7" s="236"/>
      <c r="E7" s="236"/>
      <c r="F7" s="236"/>
      <c r="G7" s="237"/>
    </row>
    <row r="8" spans="1:41" s="76" customFormat="1" x14ac:dyDescent="0.25">
      <c r="A8" s="226" t="s">
        <v>307</v>
      </c>
      <c r="B8" s="227"/>
      <c r="C8" s="227"/>
      <c r="D8" s="227"/>
      <c r="E8" s="227"/>
      <c r="F8" s="227"/>
      <c r="G8" s="228"/>
      <c r="H8" s="74"/>
      <c r="I8" s="75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</row>
    <row r="9" spans="1:41" ht="31.5" x14ac:dyDescent="0.25">
      <c r="A9" s="158" t="s">
        <v>153</v>
      </c>
      <c r="B9" s="163" t="s">
        <v>140</v>
      </c>
      <c r="C9" s="158" t="s">
        <v>154</v>
      </c>
      <c r="D9" s="158" t="s">
        <v>166</v>
      </c>
      <c r="E9" s="164" t="s">
        <v>155</v>
      </c>
      <c r="F9" s="164" t="s">
        <v>156</v>
      </c>
      <c r="G9" s="164" t="s">
        <v>182</v>
      </c>
      <c r="L9" s="66" t="s">
        <v>155</v>
      </c>
    </row>
    <row r="10" spans="1:41" x14ac:dyDescent="0.25">
      <c r="A10" s="165"/>
      <c r="B10" s="238" t="s">
        <v>306</v>
      </c>
      <c r="C10" s="239"/>
      <c r="D10" s="239"/>
      <c r="E10" s="239"/>
      <c r="F10" s="239"/>
      <c r="G10" s="240"/>
    </row>
    <row r="11" spans="1:41" s="76" customFormat="1" x14ac:dyDescent="0.25">
      <c r="A11" s="151">
        <v>1</v>
      </c>
      <c r="B11" s="152" t="s">
        <v>167</v>
      </c>
      <c r="C11" s="153"/>
      <c r="D11" s="152"/>
      <c r="E11" s="152"/>
      <c r="F11" s="152"/>
      <c r="G11" s="152"/>
      <c r="H11" s="74"/>
      <c r="I11" s="75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</row>
    <row r="12" spans="1:41" x14ac:dyDescent="0.25">
      <c r="A12" s="154" t="s">
        <v>157</v>
      </c>
      <c r="B12" s="161" t="s">
        <v>287</v>
      </c>
      <c r="C12" s="154" t="s">
        <v>158</v>
      </c>
      <c r="D12" s="162">
        <v>1639</v>
      </c>
      <c r="E12" s="156">
        <f>'M2'!F8</f>
        <v>0</v>
      </c>
      <c r="F12" s="157">
        <f>+E12*D12</f>
        <v>0</v>
      </c>
      <c r="G12" s="156">
        <f>+F12*12</f>
        <v>0</v>
      </c>
    </row>
    <row r="13" spans="1:41" x14ac:dyDescent="0.25">
      <c r="A13" s="154" t="s">
        <v>197</v>
      </c>
      <c r="B13" s="161" t="s">
        <v>302</v>
      </c>
      <c r="C13" s="154" t="s">
        <v>158</v>
      </c>
      <c r="D13" s="162">
        <v>6868</v>
      </c>
      <c r="E13" s="156">
        <f>'M2'!F14</f>
        <v>0</v>
      </c>
      <c r="F13" s="157">
        <f>+E13*D13</f>
        <v>0</v>
      </c>
      <c r="G13" s="156">
        <f>+F13*12</f>
        <v>0</v>
      </c>
      <c r="L13" s="66">
        <v>14.38</v>
      </c>
      <c r="M13" s="66">
        <v>350</v>
      </c>
      <c r="N13" s="66">
        <f>+D13/M13</f>
        <v>19.6228571428571</v>
      </c>
    </row>
    <row r="14" spans="1:41" x14ac:dyDescent="0.25">
      <c r="A14" s="154" t="s">
        <v>272</v>
      </c>
      <c r="B14" s="161" t="s">
        <v>196</v>
      </c>
      <c r="C14" s="154" t="s">
        <v>158</v>
      </c>
      <c r="D14" s="162">
        <v>397</v>
      </c>
      <c r="E14" s="156">
        <f>'M2'!F20</f>
        <v>0</v>
      </c>
      <c r="F14" s="157">
        <f t="shared" ref="F14" si="0">+E14*D14</f>
        <v>0</v>
      </c>
      <c r="G14" s="156">
        <f t="shared" ref="G14" si="1">+F14*12</f>
        <v>0</v>
      </c>
      <c r="L14" s="66">
        <v>13.88</v>
      </c>
      <c r="M14" s="66">
        <v>350</v>
      </c>
      <c r="N14" s="66">
        <f t="shared" ref="N14" si="2">+D14/M14</f>
        <v>1.1342857142857099</v>
      </c>
    </row>
    <row r="15" spans="1:41" x14ac:dyDescent="0.25">
      <c r="A15" s="158"/>
      <c r="B15" s="159"/>
      <c r="C15" s="154"/>
      <c r="D15" s="155"/>
      <c r="E15" s="155"/>
      <c r="F15" s="159"/>
      <c r="G15" s="159"/>
    </row>
    <row r="16" spans="1:41" s="76" customFormat="1" x14ac:dyDescent="0.25">
      <c r="A16" s="151">
        <v>2</v>
      </c>
      <c r="B16" s="152" t="s">
        <v>139</v>
      </c>
      <c r="C16" s="153"/>
      <c r="D16" s="160"/>
      <c r="E16" s="160"/>
      <c r="F16" s="152"/>
      <c r="G16" s="152"/>
      <c r="H16" s="74"/>
      <c r="I16" s="75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</row>
    <row r="17" spans="1:41" x14ac:dyDescent="0.25">
      <c r="A17" s="154" t="s">
        <v>159</v>
      </c>
      <c r="B17" s="161" t="s">
        <v>305</v>
      </c>
      <c r="C17" s="154" t="s">
        <v>158</v>
      </c>
      <c r="D17" s="162">
        <v>332</v>
      </c>
      <c r="E17" s="156">
        <f>'M2'!F28</f>
        <v>0</v>
      </c>
      <c r="F17" s="157">
        <f t="shared" ref="F17" si="3">+E17*D17</f>
        <v>0</v>
      </c>
      <c r="G17" s="156">
        <f t="shared" ref="G17" si="4">+F17*12</f>
        <v>0</v>
      </c>
      <c r="L17" s="66">
        <v>2.63</v>
      </c>
      <c r="M17" s="66">
        <v>1800</v>
      </c>
      <c r="N17" s="66">
        <f t="shared" ref="N17" si="5">+D17/M17</f>
        <v>0.18444444444444399</v>
      </c>
    </row>
    <row r="18" spans="1:41" x14ac:dyDescent="0.25">
      <c r="A18" s="158"/>
      <c r="B18" s="159"/>
      <c r="C18" s="154"/>
      <c r="D18" s="155"/>
      <c r="E18" s="155"/>
      <c r="F18" s="159"/>
      <c r="G18" s="159"/>
    </row>
    <row r="19" spans="1:41" s="76" customFormat="1" x14ac:dyDescent="0.25">
      <c r="A19" s="151">
        <v>3</v>
      </c>
      <c r="B19" s="152" t="s">
        <v>162</v>
      </c>
      <c r="C19" s="153"/>
      <c r="D19" s="160"/>
      <c r="E19" s="160"/>
      <c r="F19" s="152"/>
      <c r="G19" s="152"/>
      <c r="H19" s="74"/>
      <c r="I19" s="75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</row>
    <row r="20" spans="1:41" s="76" customFormat="1" x14ac:dyDescent="0.25">
      <c r="A20" s="154" t="s">
        <v>303</v>
      </c>
      <c r="B20" s="161" t="s">
        <v>163</v>
      </c>
      <c r="C20" s="154" t="s">
        <v>158</v>
      </c>
      <c r="D20" s="162">
        <v>111</v>
      </c>
      <c r="E20" s="156">
        <f>'M2'!I35</f>
        <v>0</v>
      </c>
      <c r="F20" s="157">
        <f t="shared" ref="F20" si="6">+E20*D20</f>
        <v>0</v>
      </c>
      <c r="G20" s="156">
        <f t="shared" ref="G20" si="7">+F20*12</f>
        <v>0</v>
      </c>
      <c r="H20" s="74"/>
      <c r="I20" s="75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</row>
    <row r="21" spans="1:41" x14ac:dyDescent="0.25">
      <c r="A21" s="154" t="s">
        <v>304</v>
      </c>
      <c r="B21" s="161" t="s">
        <v>164</v>
      </c>
      <c r="C21" s="154" t="s">
        <v>158</v>
      </c>
      <c r="D21" s="162">
        <v>111</v>
      </c>
      <c r="E21" s="156">
        <f>'M2'!I41</f>
        <v>0</v>
      </c>
      <c r="F21" s="157">
        <f t="shared" ref="F21" si="8">+E21*D21</f>
        <v>0</v>
      </c>
      <c r="G21" s="156">
        <f t="shared" ref="G21" si="9">+F21*12</f>
        <v>0</v>
      </c>
      <c r="L21" s="66">
        <v>0.8</v>
      </c>
      <c r="M21" s="66">
        <v>330</v>
      </c>
      <c r="N21" s="66">
        <f t="shared" ref="N21" si="10">+D21/M21</f>
        <v>0.33636363636363598</v>
      </c>
    </row>
    <row r="22" spans="1:41" x14ac:dyDescent="0.25">
      <c r="A22" s="158"/>
      <c r="B22" s="159"/>
      <c r="C22" s="154"/>
      <c r="D22" s="155"/>
      <c r="E22" s="155"/>
      <c r="F22" s="159"/>
      <c r="G22" s="159"/>
    </row>
    <row r="23" spans="1:41" s="76" customFormat="1" ht="13.5" customHeight="1" x14ac:dyDescent="0.25">
      <c r="A23" s="225" t="s">
        <v>273</v>
      </c>
      <c r="B23" s="225"/>
      <c r="C23" s="225"/>
      <c r="D23" s="225"/>
      <c r="E23" s="225"/>
      <c r="F23" s="187">
        <f>SUM(F12:F22)</f>
        <v>0</v>
      </c>
      <c r="G23" s="187">
        <f>SUM(G12:G22)</f>
        <v>0</v>
      </c>
      <c r="I23" s="77">
        <v>470890</v>
      </c>
      <c r="N23" s="78">
        <v>1597575.33</v>
      </c>
      <c r="O23" s="66"/>
      <c r="P23" s="66"/>
      <c r="Q23" s="66"/>
      <c r="R23" s="66"/>
      <c r="S23" s="66"/>
    </row>
    <row r="25" spans="1:41" x14ac:dyDescent="0.25">
      <c r="B25" s="69"/>
    </row>
  </sheetData>
  <mergeCells count="4">
    <mergeCell ref="A23:E23"/>
    <mergeCell ref="A8:G8"/>
    <mergeCell ref="A2:G7"/>
    <mergeCell ref="B10:G10"/>
  </mergeCells>
  <pageMargins left="0.51181102362204722" right="0.31496062992125984" top="1.3779527559055118" bottom="0.78740157480314965" header="0.31496062992125984" footer="0.31496062992125984"/>
  <pageSetup paperSize="9" scale="60" orientation="portrait" r:id="rId1"/>
  <headerFooter scaleWithDoc="0"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5"/>
  <sheetViews>
    <sheetView showGridLines="0" showWhiteSpace="0" view="pageBreakPreview" topLeftCell="A52" zoomScaleNormal="90" zoomScaleSheetLayoutView="100" workbookViewId="0">
      <selection activeCell="D32" sqref="D32"/>
    </sheetView>
  </sheetViews>
  <sheetFormatPr defaultRowHeight="15" x14ac:dyDescent="0.25"/>
  <cols>
    <col min="1" max="1" width="5.5703125" customWidth="1"/>
    <col min="2" max="2" width="40.140625" customWidth="1"/>
    <col min="3" max="3" width="6" customWidth="1"/>
    <col min="4" max="4" width="19.28515625" customWidth="1"/>
    <col min="5" max="5" width="20" customWidth="1"/>
  </cols>
  <sheetData>
    <row r="1" spans="1:5" ht="21.75" thickBot="1" x14ac:dyDescent="0.3">
      <c r="A1" s="291" t="s">
        <v>134</v>
      </c>
      <c r="B1" s="292"/>
      <c r="C1" s="292"/>
      <c r="D1" s="292"/>
      <c r="E1" s="293"/>
    </row>
    <row r="2" spans="1:5" x14ac:dyDescent="0.25">
      <c r="A2" s="294" t="s">
        <v>209</v>
      </c>
      <c r="B2" s="295"/>
      <c r="C2" s="295"/>
      <c r="D2" s="295"/>
      <c r="E2" s="296"/>
    </row>
    <row r="3" spans="1:5" x14ac:dyDescent="0.25">
      <c r="A3" s="85" t="s">
        <v>0</v>
      </c>
      <c r="B3" s="86" t="s">
        <v>1</v>
      </c>
      <c r="C3" s="297" t="s">
        <v>309</v>
      </c>
      <c r="D3" s="298"/>
      <c r="E3" s="299"/>
    </row>
    <row r="4" spans="1:5" x14ac:dyDescent="0.25">
      <c r="A4" s="85" t="s">
        <v>2</v>
      </c>
      <c r="B4" s="86" t="s">
        <v>140</v>
      </c>
      <c r="C4" s="300" t="s">
        <v>210</v>
      </c>
      <c r="D4" s="301"/>
      <c r="E4" s="302"/>
    </row>
    <row r="5" spans="1:5" ht="25.5" x14ac:dyDescent="0.25">
      <c r="A5" s="85" t="s">
        <v>3</v>
      </c>
      <c r="B5" s="86" t="s">
        <v>4</v>
      </c>
      <c r="C5" s="300" t="s">
        <v>310</v>
      </c>
      <c r="D5" s="301"/>
      <c r="E5" s="302"/>
    </row>
    <row r="6" spans="1:5" x14ac:dyDescent="0.25">
      <c r="A6" s="85" t="s">
        <v>5</v>
      </c>
      <c r="B6" s="86" t="s">
        <v>211</v>
      </c>
      <c r="C6" s="300">
        <v>12</v>
      </c>
      <c r="D6" s="301"/>
      <c r="E6" s="302"/>
    </row>
    <row r="7" spans="1:5" x14ac:dyDescent="0.25">
      <c r="A7" s="303" t="s">
        <v>6</v>
      </c>
      <c r="B7" s="304"/>
      <c r="C7" s="304"/>
      <c r="D7" s="304"/>
      <c r="E7" s="305"/>
    </row>
    <row r="8" spans="1:5" x14ac:dyDescent="0.25">
      <c r="A8" s="306" t="s">
        <v>7</v>
      </c>
      <c r="B8" s="307"/>
      <c r="C8" s="307"/>
      <c r="D8" s="307"/>
      <c r="E8" s="308"/>
    </row>
    <row r="9" spans="1:5" x14ac:dyDescent="0.25">
      <c r="A9" s="294" t="s">
        <v>8</v>
      </c>
      <c r="B9" s="295"/>
      <c r="C9" s="295"/>
      <c r="D9" s="295"/>
      <c r="E9" s="296"/>
    </row>
    <row r="10" spans="1:5" x14ac:dyDescent="0.25">
      <c r="A10" s="250" t="s">
        <v>9</v>
      </c>
      <c r="B10" s="251"/>
      <c r="C10" s="251"/>
      <c r="D10" s="252"/>
      <c r="E10" s="87" t="s">
        <v>10</v>
      </c>
    </row>
    <row r="11" spans="1:5" ht="27.75" customHeight="1" x14ac:dyDescent="0.25">
      <c r="A11" s="85"/>
      <c r="B11" s="148" t="s">
        <v>135</v>
      </c>
      <c r="C11" s="288" t="s">
        <v>138</v>
      </c>
      <c r="D11" s="289"/>
      <c r="E11" s="290"/>
    </row>
    <row r="12" spans="1:5" x14ac:dyDescent="0.25">
      <c r="A12" s="85">
        <v>2</v>
      </c>
      <c r="B12" s="88" t="s">
        <v>11</v>
      </c>
      <c r="C12" s="89"/>
      <c r="D12" s="90"/>
      <c r="E12" s="91">
        <v>0</v>
      </c>
    </row>
    <row r="13" spans="1:5" ht="25.5" x14ac:dyDescent="0.25">
      <c r="A13" s="85">
        <v>3</v>
      </c>
      <c r="B13" s="148" t="s">
        <v>12</v>
      </c>
      <c r="C13" s="288" t="s">
        <v>264</v>
      </c>
      <c r="D13" s="289"/>
      <c r="E13" s="290"/>
    </row>
    <row r="14" spans="1:5" x14ac:dyDescent="0.25">
      <c r="A14" s="85">
        <v>4</v>
      </c>
      <c r="B14" s="92" t="s">
        <v>13</v>
      </c>
      <c r="C14" s="281">
        <v>44572</v>
      </c>
      <c r="D14" s="282"/>
      <c r="E14" s="283"/>
    </row>
    <row r="15" spans="1:5" x14ac:dyDescent="0.25">
      <c r="A15" s="257" t="s">
        <v>14</v>
      </c>
      <c r="B15" s="258"/>
      <c r="C15" s="258"/>
      <c r="D15" s="259"/>
      <c r="E15" s="93"/>
    </row>
    <row r="16" spans="1:5" x14ac:dyDescent="0.25">
      <c r="A16" s="94">
        <v>1</v>
      </c>
      <c r="B16" s="241" t="s">
        <v>15</v>
      </c>
      <c r="C16" s="260"/>
      <c r="D16" s="261"/>
      <c r="E16" s="95" t="s">
        <v>10</v>
      </c>
    </row>
    <row r="17" spans="1:5" x14ac:dyDescent="0.25">
      <c r="A17" s="96" t="s">
        <v>0</v>
      </c>
      <c r="B17" s="97" t="s">
        <v>16</v>
      </c>
      <c r="C17" s="284"/>
      <c r="D17" s="285"/>
      <c r="E17" s="98">
        <f>+E12</f>
        <v>0</v>
      </c>
    </row>
    <row r="18" spans="1:5" x14ac:dyDescent="0.25">
      <c r="A18" s="96" t="s">
        <v>2</v>
      </c>
      <c r="B18" s="97" t="s">
        <v>17</v>
      </c>
      <c r="C18" s="286" t="s">
        <v>18</v>
      </c>
      <c r="D18" s="287"/>
      <c r="E18" s="99">
        <v>0</v>
      </c>
    </row>
    <row r="19" spans="1:5" x14ac:dyDescent="0.25">
      <c r="A19" s="96" t="s">
        <v>3</v>
      </c>
      <c r="B19" s="186" t="s">
        <v>312</v>
      </c>
      <c r="C19" s="286" t="s">
        <v>366</v>
      </c>
      <c r="D19" s="287"/>
      <c r="E19" s="99">
        <v>0</v>
      </c>
    </row>
    <row r="20" spans="1:5" x14ac:dyDescent="0.25">
      <c r="A20" s="96" t="s">
        <v>5</v>
      </c>
      <c r="B20" s="97" t="s">
        <v>19</v>
      </c>
      <c r="C20" s="286" t="s">
        <v>20</v>
      </c>
      <c r="D20" s="287"/>
      <c r="E20" s="99">
        <f>(((E17/180)*0.2))*0</f>
        <v>0</v>
      </c>
    </row>
    <row r="21" spans="1:5" ht="24" customHeight="1" x14ac:dyDescent="0.25">
      <c r="A21" s="96" t="s">
        <v>21</v>
      </c>
      <c r="B21" s="97" t="s">
        <v>22</v>
      </c>
      <c r="C21" s="286" t="s">
        <v>23</v>
      </c>
      <c r="D21" s="287"/>
      <c r="E21" s="99">
        <v>0</v>
      </c>
    </row>
    <row r="22" spans="1:5" x14ac:dyDescent="0.25">
      <c r="A22" s="96" t="s">
        <v>24</v>
      </c>
      <c r="B22" s="100" t="s">
        <v>136</v>
      </c>
      <c r="C22" s="286"/>
      <c r="D22" s="287"/>
      <c r="E22" s="99">
        <v>0</v>
      </c>
    </row>
    <row r="23" spans="1:5" x14ac:dyDescent="0.25">
      <c r="A23" s="96" t="s">
        <v>25</v>
      </c>
      <c r="B23" s="101" t="s">
        <v>137</v>
      </c>
      <c r="C23" s="286"/>
      <c r="D23" s="287"/>
      <c r="E23" s="99">
        <v>0</v>
      </c>
    </row>
    <row r="24" spans="1:5" x14ac:dyDescent="0.25">
      <c r="A24" s="253" t="s">
        <v>26</v>
      </c>
      <c r="B24" s="254"/>
      <c r="C24" s="254"/>
      <c r="D24" s="255"/>
      <c r="E24" s="139">
        <f>SUM(E17:E23)</f>
        <v>0</v>
      </c>
    </row>
    <row r="25" spans="1:5" x14ac:dyDescent="0.25">
      <c r="A25" s="257" t="s">
        <v>55</v>
      </c>
      <c r="B25" s="258"/>
      <c r="C25" s="258"/>
      <c r="D25" s="259"/>
      <c r="E25" s="93"/>
    </row>
    <row r="26" spans="1:5" x14ac:dyDescent="0.25">
      <c r="A26" s="94" t="s">
        <v>159</v>
      </c>
      <c r="B26" s="241" t="s">
        <v>214</v>
      </c>
      <c r="C26" s="260"/>
      <c r="D26" s="261"/>
      <c r="E26" s="95" t="s">
        <v>10</v>
      </c>
    </row>
    <row r="27" spans="1:5" x14ac:dyDescent="0.25">
      <c r="A27" s="102" t="s">
        <v>0</v>
      </c>
      <c r="B27" s="103" t="s">
        <v>33</v>
      </c>
      <c r="C27" s="92"/>
      <c r="D27" s="104">
        <f>1/12</f>
        <v>8.3299999999999999E-2</v>
      </c>
      <c r="E27" s="93">
        <f>ROUND(+$E$24*D27,2)</f>
        <v>0</v>
      </c>
    </row>
    <row r="28" spans="1:5" x14ac:dyDescent="0.25">
      <c r="A28" s="102" t="s">
        <v>2</v>
      </c>
      <c r="B28" s="103" t="s">
        <v>270</v>
      </c>
      <c r="C28" s="92"/>
      <c r="D28" s="104">
        <v>0.1111</v>
      </c>
      <c r="E28" s="93">
        <f>ROUND(+$E$24*D28,2)</f>
        <v>0</v>
      </c>
    </row>
    <row r="29" spans="1:5" x14ac:dyDescent="0.25">
      <c r="A29" s="253" t="s">
        <v>31</v>
      </c>
      <c r="B29" s="254"/>
      <c r="C29" s="277"/>
      <c r="D29" s="140">
        <f>SUM(D27:D28)</f>
        <v>0.19439999999999999</v>
      </c>
      <c r="E29" s="139">
        <f>SUM(E27:E28)</f>
        <v>0</v>
      </c>
    </row>
    <row r="30" spans="1:5" ht="26.25" customHeight="1" x14ac:dyDescent="0.25">
      <c r="A30" s="278" t="s">
        <v>215</v>
      </c>
      <c r="B30" s="279"/>
      <c r="C30" s="279"/>
      <c r="D30" s="279"/>
      <c r="E30" s="280"/>
    </row>
    <row r="31" spans="1:5" x14ac:dyDescent="0.25">
      <c r="A31" s="94" t="s">
        <v>160</v>
      </c>
      <c r="B31" s="241" t="s">
        <v>29</v>
      </c>
      <c r="C31" s="260"/>
      <c r="D31" s="261"/>
      <c r="E31" s="95" t="s">
        <v>10</v>
      </c>
    </row>
    <row r="32" spans="1:5" x14ac:dyDescent="0.25">
      <c r="A32" s="102" t="s">
        <v>0</v>
      </c>
      <c r="B32" s="105" t="s">
        <v>216</v>
      </c>
      <c r="C32" s="92"/>
      <c r="D32" s="104">
        <v>0.2</v>
      </c>
      <c r="E32" s="93">
        <f>(E24+E29)*D32</f>
        <v>0</v>
      </c>
    </row>
    <row r="33" spans="1:5" x14ac:dyDescent="0.25">
      <c r="A33" s="102" t="s">
        <v>2</v>
      </c>
      <c r="B33" s="106" t="s">
        <v>217</v>
      </c>
      <c r="C33" s="92"/>
      <c r="D33" s="104">
        <v>1.4999999999999999E-2</v>
      </c>
      <c r="E33" s="93">
        <f>(E24+E29)*D33</f>
        <v>0</v>
      </c>
    </row>
    <row r="34" spans="1:5" x14ac:dyDescent="0.25">
      <c r="A34" s="102" t="s">
        <v>3</v>
      </c>
      <c r="B34" s="92" t="s">
        <v>218</v>
      </c>
      <c r="C34" s="92"/>
      <c r="D34" s="104">
        <v>0.01</v>
      </c>
      <c r="E34" s="93">
        <f>(E24+E29)*D34</f>
        <v>0</v>
      </c>
    </row>
    <row r="35" spans="1:5" x14ac:dyDescent="0.25">
      <c r="A35" s="102" t="s">
        <v>5</v>
      </c>
      <c r="B35" s="107" t="s">
        <v>219</v>
      </c>
      <c r="C35" s="92"/>
      <c r="D35" s="104">
        <v>2E-3</v>
      </c>
      <c r="E35" s="93">
        <f>(E24+E29)*D35</f>
        <v>0</v>
      </c>
    </row>
    <row r="36" spans="1:5" x14ac:dyDescent="0.25">
      <c r="A36" s="102" t="s">
        <v>21</v>
      </c>
      <c r="B36" s="92" t="s">
        <v>220</v>
      </c>
      <c r="C36" s="92"/>
      <c r="D36" s="104">
        <v>2.5000000000000001E-2</v>
      </c>
      <c r="E36" s="93">
        <f>(E24+E29)*D36</f>
        <v>0</v>
      </c>
    </row>
    <row r="37" spans="1:5" x14ac:dyDescent="0.25">
      <c r="A37" s="102" t="s">
        <v>24</v>
      </c>
      <c r="B37" s="106" t="s">
        <v>221</v>
      </c>
      <c r="C37" s="92"/>
      <c r="D37" s="104">
        <v>0.08</v>
      </c>
      <c r="E37" s="93">
        <f>(E24+E29)*D37</f>
        <v>0</v>
      </c>
    </row>
    <row r="38" spans="1:5" x14ac:dyDescent="0.25">
      <c r="A38" s="102" t="s">
        <v>25</v>
      </c>
      <c r="B38" s="107" t="s">
        <v>313</v>
      </c>
      <c r="C38" s="92"/>
      <c r="D38" s="104">
        <v>0.03</v>
      </c>
      <c r="E38" s="93">
        <f>(E24+E29)*D38</f>
        <v>0</v>
      </c>
    </row>
    <row r="39" spans="1:5" x14ac:dyDescent="0.25">
      <c r="A39" s="102" t="s">
        <v>30</v>
      </c>
      <c r="B39" s="108" t="s">
        <v>223</v>
      </c>
      <c r="C39" s="92"/>
      <c r="D39" s="104">
        <v>6.0000000000000001E-3</v>
      </c>
      <c r="E39" s="93">
        <f>(E24+E29)*D39</f>
        <v>0</v>
      </c>
    </row>
    <row r="40" spans="1:5" x14ac:dyDescent="0.25">
      <c r="A40" s="253" t="s">
        <v>31</v>
      </c>
      <c r="B40" s="254"/>
      <c r="C40" s="277"/>
      <c r="D40" s="140">
        <f>SUM(D32:D39)</f>
        <v>0.36799999999999999</v>
      </c>
      <c r="E40" s="139">
        <f>SUM(E32:E39)</f>
        <v>0</v>
      </c>
    </row>
    <row r="41" spans="1:5" x14ac:dyDescent="0.25">
      <c r="A41" s="94" t="s">
        <v>161</v>
      </c>
      <c r="B41" s="241" t="s">
        <v>224</v>
      </c>
      <c r="C41" s="260"/>
      <c r="D41" s="261"/>
      <c r="E41" s="95" t="s">
        <v>10</v>
      </c>
    </row>
    <row r="42" spans="1:5" x14ac:dyDescent="0.25">
      <c r="A42" s="102" t="s">
        <v>0</v>
      </c>
      <c r="B42" s="101" t="s">
        <v>207</v>
      </c>
      <c r="C42" s="92"/>
      <c r="D42" s="100"/>
      <c r="E42" s="109">
        <v>0</v>
      </c>
    </row>
    <row r="43" spans="1:5" x14ac:dyDescent="0.25">
      <c r="A43" s="102" t="s">
        <v>2</v>
      </c>
      <c r="B43" s="101" t="s">
        <v>263</v>
      </c>
      <c r="C43" s="92"/>
      <c r="D43" s="110"/>
      <c r="E43" s="98">
        <v>0</v>
      </c>
    </row>
    <row r="44" spans="1:5" x14ac:dyDescent="0.25">
      <c r="A44" s="102" t="s">
        <v>3</v>
      </c>
      <c r="B44" s="101" t="s">
        <v>225</v>
      </c>
      <c r="C44" s="92"/>
      <c r="D44" s="110"/>
      <c r="E44" s="109">
        <v>0</v>
      </c>
    </row>
    <row r="45" spans="1:5" x14ac:dyDescent="0.25">
      <c r="A45" s="102" t="s">
        <v>5</v>
      </c>
      <c r="B45" s="101" t="s">
        <v>226</v>
      </c>
      <c r="C45" s="92"/>
      <c r="D45" s="110"/>
      <c r="E45" s="99">
        <f>(((E12*50%)*0.0199)*2)/12</f>
        <v>0</v>
      </c>
    </row>
    <row r="46" spans="1:5" x14ac:dyDescent="0.25">
      <c r="A46" s="102" t="s">
        <v>21</v>
      </c>
      <c r="B46" s="101" t="s">
        <v>227</v>
      </c>
      <c r="C46" s="92"/>
      <c r="D46" s="110"/>
      <c r="E46" s="93">
        <v>0</v>
      </c>
    </row>
    <row r="47" spans="1:5" x14ac:dyDescent="0.25">
      <c r="A47" s="253" t="s">
        <v>27</v>
      </c>
      <c r="B47" s="254"/>
      <c r="C47" s="254"/>
      <c r="D47" s="255"/>
      <c r="E47" s="139">
        <f>SUM(E42:E46)</f>
        <v>0</v>
      </c>
    </row>
    <row r="48" spans="1:5" x14ac:dyDescent="0.25">
      <c r="A48" s="257" t="s">
        <v>228</v>
      </c>
      <c r="B48" s="258"/>
      <c r="C48" s="258"/>
      <c r="D48" s="259"/>
      <c r="E48" s="93"/>
    </row>
    <row r="49" spans="1:7" x14ac:dyDescent="0.25">
      <c r="A49" s="94" t="s">
        <v>159</v>
      </c>
      <c r="B49" s="241" t="s">
        <v>229</v>
      </c>
      <c r="C49" s="260"/>
      <c r="D49" s="261"/>
      <c r="E49" s="95">
        <f>E29</f>
        <v>0</v>
      </c>
    </row>
    <row r="50" spans="1:7" x14ac:dyDescent="0.25">
      <c r="A50" s="94" t="s">
        <v>160</v>
      </c>
      <c r="B50" s="103" t="s">
        <v>230</v>
      </c>
      <c r="C50" s="92"/>
      <c r="D50" s="111" t="s">
        <v>133</v>
      </c>
      <c r="E50" s="93">
        <f>E40</f>
        <v>0</v>
      </c>
    </row>
    <row r="51" spans="1:7" x14ac:dyDescent="0.25">
      <c r="A51" s="94" t="s">
        <v>161</v>
      </c>
      <c r="B51" s="103" t="s">
        <v>231</v>
      </c>
      <c r="C51" s="92"/>
      <c r="D51" s="111" t="s">
        <v>133</v>
      </c>
      <c r="E51" s="93">
        <f>E47</f>
        <v>0</v>
      </c>
    </row>
    <row r="52" spans="1:7" x14ac:dyDescent="0.25">
      <c r="A52" s="253" t="s">
        <v>31</v>
      </c>
      <c r="B52" s="254"/>
      <c r="C52" s="277"/>
      <c r="D52" s="141" t="s">
        <v>133</v>
      </c>
      <c r="E52" s="139">
        <f>SUM(E49:E51)</f>
        <v>0</v>
      </c>
    </row>
    <row r="53" spans="1:7" x14ac:dyDescent="0.25">
      <c r="A53" s="257" t="s">
        <v>232</v>
      </c>
      <c r="B53" s="258"/>
      <c r="C53" s="258"/>
      <c r="D53" s="259"/>
      <c r="E53" s="93"/>
    </row>
    <row r="54" spans="1:7" x14ac:dyDescent="0.25">
      <c r="A54" s="94" t="s">
        <v>233</v>
      </c>
      <c r="B54" s="241" t="s">
        <v>34</v>
      </c>
      <c r="C54" s="260"/>
      <c r="D54" s="261"/>
      <c r="E54" s="95" t="s">
        <v>10</v>
      </c>
    </row>
    <row r="55" spans="1:7" x14ac:dyDescent="0.25">
      <c r="A55" s="102" t="s">
        <v>0</v>
      </c>
      <c r="B55" s="103" t="s">
        <v>234</v>
      </c>
      <c r="C55" s="106"/>
      <c r="D55" s="104">
        <v>4.1999999999999997E-3</v>
      </c>
      <c r="E55" s="93">
        <f t="shared" ref="E55:E60" si="0">ROUND(+D55*$E$24,2)</f>
        <v>0</v>
      </c>
    </row>
    <row r="56" spans="1:7" ht="25.5" x14ac:dyDescent="0.25">
      <c r="A56" s="102" t="s">
        <v>2</v>
      </c>
      <c r="B56" s="101" t="s">
        <v>235</v>
      </c>
      <c r="C56" s="106"/>
      <c r="D56" s="104">
        <f>D37*D55</f>
        <v>2.9999999999999997E-4</v>
      </c>
      <c r="E56" s="93">
        <f t="shared" si="0"/>
        <v>0</v>
      </c>
    </row>
    <row r="57" spans="1:7" ht="25.5" x14ac:dyDescent="0.25">
      <c r="A57" s="102" t="s">
        <v>3</v>
      </c>
      <c r="B57" s="101" t="s">
        <v>236</v>
      </c>
      <c r="C57" s="106"/>
      <c r="D57" s="104">
        <f>(0.08*0.4*0.9)*(1+0.0833+0.09075+0.03025)</f>
        <v>3.4700000000000002E-2</v>
      </c>
      <c r="E57" s="93">
        <f t="shared" si="0"/>
        <v>0</v>
      </c>
    </row>
    <row r="58" spans="1:7" x14ac:dyDescent="0.25">
      <c r="A58" s="102" t="s">
        <v>5</v>
      </c>
      <c r="B58" s="112" t="s">
        <v>35</v>
      </c>
      <c r="C58" s="106"/>
      <c r="D58" s="104">
        <v>1.9400000000000001E-2</v>
      </c>
      <c r="E58" s="93">
        <f t="shared" si="0"/>
        <v>0</v>
      </c>
    </row>
    <row r="59" spans="1:7" ht="25.5" customHeight="1" x14ac:dyDescent="0.25">
      <c r="A59" s="102" t="s">
        <v>21</v>
      </c>
      <c r="B59" s="101" t="s">
        <v>237</v>
      </c>
      <c r="C59" s="106"/>
      <c r="D59" s="104">
        <f>D40*D58</f>
        <v>7.1000000000000004E-3</v>
      </c>
      <c r="E59" s="93">
        <f t="shared" si="0"/>
        <v>0</v>
      </c>
    </row>
    <row r="60" spans="1:7" ht="28.5" customHeight="1" x14ac:dyDescent="0.25">
      <c r="A60" s="102" t="s">
        <v>24</v>
      </c>
      <c r="B60" s="101" t="s">
        <v>238</v>
      </c>
      <c r="C60" s="106"/>
      <c r="D60" s="104">
        <f>(0.08*0.4)*(0.08*D37)</f>
        <v>2.0000000000000001E-4</v>
      </c>
      <c r="E60" s="93">
        <f t="shared" si="0"/>
        <v>0</v>
      </c>
    </row>
    <row r="61" spans="1:7" x14ac:dyDescent="0.25">
      <c r="A61" s="253" t="s">
        <v>31</v>
      </c>
      <c r="B61" s="254"/>
      <c r="C61" s="254"/>
      <c r="D61" s="142">
        <f>SUM(D55:D60)</f>
        <v>6.59E-2</v>
      </c>
      <c r="E61" s="139">
        <f>SUM(E55:E60)</f>
        <v>0</v>
      </c>
    </row>
    <row r="62" spans="1:7" x14ac:dyDescent="0.25">
      <c r="A62" s="257" t="s">
        <v>239</v>
      </c>
      <c r="B62" s="258"/>
      <c r="C62" s="258"/>
      <c r="D62" s="259"/>
      <c r="E62" s="93"/>
    </row>
    <row r="63" spans="1:7" x14ac:dyDescent="0.25">
      <c r="A63" s="94" t="s">
        <v>28</v>
      </c>
      <c r="B63" s="276" t="s">
        <v>240</v>
      </c>
      <c r="C63" s="258"/>
      <c r="D63" s="259"/>
      <c r="E63" s="95" t="s">
        <v>10</v>
      </c>
    </row>
    <row r="64" spans="1:7" ht="15.75" x14ac:dyDescent="0.25">
      <c r="A64" s="102" t="s">
        <v>0</v>
      </c>
      <c r="B64" s="103" t="s">
        <v>269</v>
      </c>
      <c r="C64" s="92"/>
      <c r="D64" s="104">
        <f>D28/12</f>
        <v>9.2999999999999992E-3</v>
      </c>
      <c r="E64" s="93">
        <f t="shared" ref="E64:E69" si="1">ROUND(+D64*$E$24,2)</f>
        <v>0</v>
      </c>
      <c r="G64" s="70"/>
    </row>
    <row r="65" spans="1:7" ht="25.5" x14ac:dyDescent="0.25">
      <c r="A65" s="102" t="s">
        <v>2</v>
      </c>
      <c r="B65" s="103" t="s">
        <v>241</v>
      </c>
      <c r="C65" s="92"/>
      <c r="D65" s="104">
        <v>1.66E-2</v>
      </c>
      <c r="E65" s="93">
        <f t="shared" si="1"/>
        <v>0</v>
      </c>
      <c r="G65" s="70"/>
    </row>
    <row r="66" spans="1:7" ht="15.75" x14ac:dyDescent="0.25">
      <c r="A66" s="102" t="s">
        <v>3</v>
      </c>
      <c r="B66" s="103" t="s">
        <v>242</v>
      </c>
      <c r="C66" s="92"/>
      <c r="D66" s="104">
        <v>2.0000000000000001E-4</v>
      </c>
      <c r="E66" s="93">
        <f t="shared" si="1"/>
        <v>0</v>
      </c>
      <c r="G66" s="70"/>
    </row>
    <row r="67" spans="1:7" ht="25.5" x14ac:dyDescent="0.25">
      <c r="A67" s="102" t="s">
        <v>5</v>
      </c>
      <c r="B67" s="103" t="s">
        <v>243</v>
      </c>
      <c r="C67" s="92"/>
      <c r="D67" s="104">
        <v>2.8E-3</v>
      </c>
      <c r="E67" s="93">
        <f t="shared" si="1"/>
        <v>0</v>
      </c>
      <c r="G67" s="70"/>
    </row>
    <row r="68" spans="1:7" ht="15.75" x14ac:dyDescent="0.25">
      <c r="A68" s="102" t="s">
        <v>21</v>
      </c>
      <c r="B68" s="103" t="s">
        <v>244</v>
      </c>
      <c r="C68" s="92"/>
      <c r="D68" s="104">
        <v>2.9999999999999997E-4</v>
      </c>
      <c r="E68" s="93">
        <f t="shared" si="1"/>
        <v>0</v>
      </c>
      <c r="G68" s="70"/>
    </row>
    <row r="69" spans="1:7" ht="15.75" x14ac:dyDescent="0.25">
      <c r="A69" s="102" t="s">
        <v>24</v>
      </c>
      <c r="B69" s="101" t="s">
        <v>271</v>
      </c>
      <c r="C69" s="106"/>
      <c r="D69" s="104">
        <f>SUM(D64:D68)*D40</f>
        <v>1.0699999999999999E-2</v>
      </c>
      <c r="E69" s="93">
        <f t="shared" si="1"/>
        <v>0</v>
      </c>
      <c r="G69" s="70"/>
    </row>
    <row r="70" spans="1:7" ht="15.75" x14ac:dyDescent="0.25">
      <c r="A70" s="253" t="s">
        <v>245</v>
      </c>
      <c r="B70" s="254"/>
      <c r="C70" s="255"/>
      <c r="D70" s="142">
        <f>SUM(D64:D69)</f>
        <v>3.9899999999999998E-2</v>
      </c>
      <c r="E70" s="139">
        <f>SUM(E64:E69)</f>
        <v>0</v>
      </c>
      <c r="G70" s="70"/>
    </row>
    <row r="71" spans="1:7" ht="15.75" x14ac:dyDescent="0.25">
      <c r="A71" s="257"/>
      <c r="B71" s="258"/>
      <c r="C71" s="258"/>
      <c r="D71" s="259"/>
      <c r="E71" s="93"/>
      <c r="G71" s="70"/>
    </row>
    <row r="72" spans="1:7" ht="15.75" x14ac:dyDescent="0.25">
      <c r="A72" s="94" t="s">
        <v>133</v>
      </c>
      <c r="B72" s="241" t="s">
        <v>246</v>
      </c>
      <c r="C72" s="260"/>
      <c r="D72" s="261"/>
      <c r="E72" s="95" t="s">
        <v>10</v>
      </c>
      <c r="G72" s="146"/>
    </row>
    <row r="73" spans="1:7" x14ac:dyDescent="0.25">
      <c r="A73" s="102" t="s">
        <v>0</v>
      </c>
      <c r="B73" s="103" t="s">
        <v>247</v>
      </c>
      <c r="C73" s="92"/>
      <c r="D73" s="104">
        <v>0</v>
      </c>
      <c r="E73" s="93">
        <f>ROUND(+$E$25*D73,2)</f>
        <v>0</v>
      </c>
    </row>
    <row r="74" spans="1:7" x14ac:dyDescent="0.25">
      <c r="A74" s="253" t="s">
        <v>31</v>
      </c>
      <c r="B74" s="254"/>
      <c r="C74" s="254"/>
      <c r="D74" s="140">
        <f>D73</f>
        <v>0</v>
      </c>
      <c r="E74" s="139">
        <f>E73</f>
        <v>0</v>
      </c>
    </row>
    <row r="75" spans="1:7" x14ac:dyDescent="0.25">
      <c r="A75" s="257" t="s">
        <v>248</v>
      </c>
      <c r="B75" s="258"/>
      <c r="C75" s="258"/>
      <c r="D75" s="259"/>
      <c r="E75" s="93"/>
    </row>
    <row r="76" spans="1:7" x14ac:dyDescent="0.25">
      <c r="A76" s="94">
        <v>4</v>
      </c>
      <c r="B76" s="241" t="s">
        <v>36</v>
      </c>
      <c r="C76" s="260"/>
      <c r="D76" s="261"/>
      <c r="E76" s="95" t="s">
        <v>10</v>
      </c>
    </row>
    <row r="77" spans="1:7" x14ac:dyDescent="0.25">
      <c r="A77" s="102" t="s">
        <v>28</v>
      </c>
      <c r="B77" s="103" t="s">
        <v>240</v>
      </c>
      <c r="C77" s="92"/>
      <c r="D77" s="104">
        <f>D70</f>
        <v>3.9899999999999998E-2</v>
      </c>
      <c r="E77" s="93">
        <f>E70</f>
        <v>0</v>
      </c>
    </row>
    <row r="78" spans="1:7" x14ac:dyDescent="0.25">
      <c r="A78" s="102" t="s">
        <v>32</v>
      </c>
      <c r="B78" s="103" t="s">
        <v>246</v>
      </c>
      <c r="C78" s="106"/>
      <c r="D78" s="104">
        <f>D74</f>
        <v>0</v>
      </c>
      <c r="E78" s="93">
        <f>E74</f>
        <v>0</v>
      </c>
    </row>
    <row r="79" spans="1:7" x14ac:dyDescent="0.25">
      <c r="A79" s="253" t="s">
        <v>249</v>
      </c>
      <c r="B79" s="254"/>
      <c r="C79" s="255"/>
      <c r="D79" s="142">
        <f>SUM(D74:D78)</f>
        <v>3.9899999999999998E-2</v>
      </c>
      <c r="E79" s="139">
        <f>SUM(E77+E78)</f>
        <v>0</v>
      </c>
    </row>
    <row r="80" spans="1:7" x14ac:dyDescent="0.25">
      <c r="A80" s="257" t="s">
        <v>250</v>
      </c>
      <c r="B80" s="258"/>
      <c r="C80" s="258"/>
      <c r="D80" s="259"/>
      <c r="E80" s="93"/>
    </row>
    <row r="81" spans="1:5" x14ac:dyDescent="0.25">
      <c r="A81" s="94">
        <v>5</v>
      </c>
      <c r="B81" s="241" t="s">
        <v>251</v>
      </c>
      <c r="C81" s="260"/>
      <c r="D81" s="261"/>
      <c r="E81" s="95" t="s">
        <v>10</v>
      </c>
    </row>
    <row r="82" spans="1:5" x14ac:dyDescent="0.25">
      <c r="A82" s="102" t="s">
        <v>0</v>
      </c>
      <c r="B82" s="103" t="s">
        <v>168</v>
      </c>
      <c r="C82" s="92"/>
      <c r="D82" s="104" t="s">
        <v>133</v>
      </c>
      <c r="E82" s="93">
        <f>UNIFORMES!F13</f>
        <v>0</v>
      </c>
    </row>
    <row r="83" spans="1:5" x14ac:dyDescent="0.25">
      <c r="A83" s="102" t="s">
        <v>2</v>
      </c>
      <c r="B83" s="103" t="s">
        <v>252</v>
      </c>
      <c r="C83" s="92"/>
      <c r="D83" s="104"/>
      <c r="E83" s="93">
        <f>'MATERIAS E EQUIPAMENTOS'!L64</f>
        <v>0</v>
      </c>
    </row>
    <row r="84" spans="1:5" x14ac:dyDescent="0.25">
      <c r="A84" s="102" t="s">
        <v>3</v>
      </c>
      <c r="B84" s="103" t="s">
        <v>180</v>
      </c>
      <c r="C84" s="92"/>
      <c r="D84" s="104"/>
      <c r="E84" s="93">
        <f>'MATERIAS E EQUIPAMENTOS'!L65</f>
        <v>0</v>
      </c>
    </row>
    <row r="85" spans="1:5" ht="26.25" customHeight="1" x14ac:dyDescent="0.25">
      <c r="A85" s="102" t="s">
        <v>5</v>
      </c>
      <c r="B85" s="103" t="s">
        <v>354</v>
      </c>
      <c r="C85" s="92"/>
      <c r="D85" s="104"/>
      <c r="E85" s="93">
        <f>'SEGURANÇA  CURSOS TREINA'!F5</f>
        <v>0</v>
      </c>
    </row>
    <row r="86" spans="1:5" ht="26.25" customHeight="1" x14ac:dyDescent="0.25">
      <c r="A86" s="102" t="s">
        <v>21</v>
      </c>
      <c r="B86" s="103" t="s">
        <v>355</v>
      </c>
      <c r="C86" s="106"/>
      <c r="D86" s="104" t="s">
        <v>133</v>
      </c>
      <c r="E86" s="93">
        <f>'SEGURANÇA  CURSOS TREINA'!F11</f>
        <v>0</v>
      </c>
    </row>
    <row r="87" spans="1:5" ht="25.5" x14ac:dyDescent="0.25">
      <c r="A87" s="102" t="s">
        <v>24</v>
      </c>
      <c r="B87" s="103" t="s">
        <v>301</v>
      </c>
      <c r="C87" s="106"/>
      <c r="D87" s="104" t="s">
        <v>133</v>
      </c>
      <c r="E87" s="93">
        <f>'SEGURANÇA  CURSOS TREINA'!F17</f>
        <v>0</v>
      </c>
    </row>
    <row r="88" spans="1:5" x14ac:dyDescent="0.25">
      <c r="A88" s="253" t="s">
        <v>255</v>
      </c>
      <c r="B88" s="254"/>
      <c r="C88" s="255"/>
      <c r="D88" s="142" t="s">
        <v>133</v>
      </c>
      <c r="E88" s="139">
        <f>SUM(E82:E87)</f>
        <v>0</v>
      </c>
    </row>
    <row r="89" spans="1:5" x14ac:dyDescent="0.25">
      <c r="A89" s="250" t="s">
        <v>37</v>
      </c>
      <c r="B89" s="252"/>
      <c r="C89" s="256" t="s">
        <v>31</v>
      </c>
      <c r="D89" s="252"/>
      <c r="E89" s="93">
        <f>SUM(E24+E52+E61+E79+E88)</f>
        <v>0</v>
      </c>
    </row>
    <row r="90" spans="1:5" ht="27" customHeight="1" x14ac:dyDescent="0.25">
      <c r="A90" s="271" t="s">
        <v>256</v>
      </c>
      <c r="B90" s="272"/>
      <c r="C90" s="272"/>
      <c r="D90" s="273"/>
      <c r="E90" s="139">
        <f>E89</f>
        <v>0</v>
      </c>
    </row>
    <row r="91" spans="1:5" x14ac:dyDescent="0.25">
      <c r="A91" s="257" t="s">
        <v>257</v>
      </c>
      <c r="B91" s="258"/>
      <c r="C91" s="258" t="s">
        <v>38</v>
      </c>
      <c r="D91" s="259" t="s">
        <v>39</v>
      </c>
      <c r="E91" s="93"/>
    </row>
    <row r="92" spans="1:5" x14ac:dyDescent="0.25">
      <c r="A92" s="94">
        <v>6</v>
      </c>
      <c r="B92" s="241" t="s">
        <v>40</v>
      </c>
      <c r="C92" s="260"/>
      <c r="D92" s="261"/>
      <c r="E92" s="95" t="s">
        <v>10</v>
      </c>
    </row>
    <row r="93" spans="1:5" x14ac:dyDescent="0.25">
      <c r="A93" s="94" t="s">
        <v>0</v>
      </c>
      <c r="B93" s="103" t="s">
        <v>41</v>
      </c>
      <c r="C93" s="262">
        <v>0.03</v>
      </c>
      <c r="D93" s="263"/>
      <c r="E93" s="93">
        <f>+E90*C93</f>
        <v>0</v>
      </c>
    </row>
    <row r="94" spans="1:5" x14ac:dyDescent="0.25">
      <c r="A94" s="94" t="s">
        <v>2</v>
      </c>
      <c r="B94" s="103" t="s">
        <v>42</v>
      </c>
      <c r="C94" s="262">
        <v>6.7900000000000002E-2</v>
      </c>
      <c r="D94" s="263"/>
      <c r="E94" s="93">
        <f>C94*(+E90+E93)</f>
        <v>0</v>
      </c>
    </row>
    <row r="95" spans="1:5" ht="15" customHeight="1" x14ac:dyDescent="0.25">
      <c r="A95" s="264" t="s">
        <v>3</v>
      </c>
      <c r="B95" s="266" t="s">
        <v>54</v>
      </c>
      <c r="C95" s="267"/>
      <c r="D95" s="113">
        <f>+(100-14.25)/100</f>
        <v>0.85750000000000004</v>
      </c>
      <c r="E95" s="93">
        <f>+E90+E93+E94</f>
        <v>0</v>
      </c>
    </row>
    <row r="96" spans="1:5" x14ac:dyDescent="0.25">
      <c r="A96" s="264"/>
      <c r="B96" s="114" t="s">
        <v>43</v>
      </c>
      <c r="C96" s="112"/>
      <c r="D96" s="112"/>
      <c r="E96" s="115">
        <f>+E95/D95</f>
        <v>0</v>
      </c>
    </row>
    <row r="97" spans="1:5" x14ac:dyDescent="0.25">
      <c r="A97" s="264"/>
      <c r="B97" s="116" t="s">
        <v>44</v>
      </c>
      <c r="C97" s="117"/>
      <c r="D97" s="118"/>
      <c r="E97" s="93"/>
    </row>
    <row r="98" spans="1:5" x14ac:dyDescent="0.25">
      <c r="A98" s="264"/>
      <c r="B98" s="274" t="s">
        <v>266</v>
      </c>
      <c r="C98" s="275"/>
      <c r="D98" s="104">
        <v>1.6500000000000001E-2</v>
      </c>
      <c r="E98" s="93">
        <f>+E96*D98</f>
        <v>0</v>
      </c>
    </row>
    <row r="99" spans="1:5" x14ac:dyDescent="0.25">
      <c r="A99" s="264"/>
      <c r="B99" s="274" t="s">
        <v>267</v>
      </c>
      <c r="C99" s="275"/>
      <c r="D99" s="104">
        <v>7.5999999999999998E-2</v>
      </c>
      <c r="E99" s="93">
        <f>+E96*D99</f>
        <v>0</v>
      </c>
    </row>
    <row r="100" spans="1:5" x14ac:dyDescent="0.25">
      <c r="A100" s="264"/>
      <c r="B100" s="121" t="s">
        <v>45</v>
      </c>
      <c r="C100" s="122"/>
      <c r="D100" s="105"/>
      <c r="E100" s="93"/>
    </row>
    <row r="101" spans="1:5" x14ac:dyDescent="0.25">
      <c r="A101" s="264"/>
      <c r="B101" s="121" t="s">
        <v>46</v>
      </c>
      <c r="C101" s="122"/>
      <c r="D101" s="123"/>
      <c r="E101" s="93"/>
    </row>
    <row r="102" spans="1:5" ht="15.75" thickBot="1" x14ac:dyDescent="0.3">
      <c r="A102" s="265"/>
      <c r="B102" s="124" t="s">
        <v>181</v>
      </c>
      <c r="C102" s="125"/>
      <c r="D102" s="126">
        <v>0.05</v>
      </c>
      <c r="E102" s="127">
        <f>+E96*D102</f>
        <v>0</v>
      </c>
    </row>
    <row r="103" spans="1:5" ht="15.75" thickBot="1" x14ac:dyDescent="0.3">
      <c r="A103" s="128"/>
      <c r="B103" s="129" t="s">
        <v>47</v>
      </c>
      <c r="C103" s="129"/>
      <c r="D103" s="130">
        <f>SUM(D98:D102)</f>
        <v>0.14249999999999999</v>
      </c>
      <c r="E103" s="131">
        <f>SUM(E98:E102)</f>
        <v>0</v>
      </c>
    </row>
    <row r="104" spans="1:5" x14ac:dyDescent="0.25">
      <c r="A104" s="268" t="s">
        <v>48</v>
      </c>
      <c r="B104" s="269"/>
      <c r="C104" s="269"/>
      <c r="D104" s="270"/>
      <c r="E104" s="144">
        <f>+E93+E94+E103</f>
        <v>0</v>
      </c>
    </row>
    <row r="105" spans="1:5" x14ac:dyDescent="0.25">
      <c r="A105" s="250" t="s">
        <v>49</v>
      </c>
      <c r="B105" s="251"/>
      <c r="C105" s="251"/>
      <c r="D105" s="252"/>
      <c r="E105" s="87" t="s">
        <v>10</v>
      </c>
    </row>
    <row r="106" spans="1:5" x14ac:dyDescent="0.25">
      <c r="A106" s="94" t="s">
        <v>0</v>
      </c>
      <c r="B106" s="241" t="s">
        <v>50</v>
      </c>
      <c r="C106" s="242"/>
      <c r="D106" s="243"/>
      <c r="E106" s="93">
        <f>+E24</f>
        <v>0</v>
      </c>
    </row>
    <row r="107" spans="1:5" x14ac:dyDescent="0.25">
      <c r="A107" s="94" t="s">
        <v>2</v>
      </c>
      <c r="B107" s="241" t="s">
        <v>258</v>
      </c>
      <c r="C107" s="242"/>
      <c r="D107" s="243"/>
      <c r="E107" s="93">
        <f>E52</f>
        <v>0</v>
      </c>
    </row>
    <row r="108" spans="1:5" x14ac:dyDescent="0.25">
      <c r="A108" s="94" t="s">
        <v>3</v>
      </c>
      <c r="B108" s="241" t="s">
        <v>259</v>
      </c>
      <c r="C108" s="242"/>
      <c r="D108" s="243"/>
      <c r="E108" s="93">
        <f>E61</f>
        <v>0</v>
      </c>
    </row>
    <row r="109" spans="1:5" x14ac:dyDescent="0.25">
      <c r="A109" s="94" t="s">
        <v>5</v>
      </c>
      <c r="B109" s="241" t="s">
        <v>260</v>
      </c>
      <c r="C109" s="242"/>
      <c r="D109" s="243"/>
      <c r="E109" s="93">
        <f>E79</f>
        <v>0</v>
      </c>
    </row>
    <row r="110" spans="1:5" x14ac:dyDescent="0.25">
      <c r="A110" s="94" t="s">
        <v>21</v>
      </c>
      <c r="B110" s="241" t="s">
        <v>261</v>
      </c>
      <c r="C110" s="242"/>
      <c r="D110" s="243"/>
      <c r="E110" s="93">
        <f>E88</f>
        <v>0</v>
      </c>
    </row>
    <row r="111" spans="1:5" x14ac:dyDescent="0.25">
      <c r="A111" s="247" t="s">
        <v>51</v>
      </c>
      <c r="B111" s="248"/>
      <c r="C111" s="249"/>
      <c r="D111" s="111"/>
      <c r="E111" s="93">
        <f>SUM(E106:E110)</f>
        <v>0</v>
      </c>
    </row>
    <row r="112" spans="1:5" x14ac:dyDescent="0.25">
      <c r="A112" s="94" t="s">
        <v>24</v>
      </c>
      <c r="B112" s="241" t="s">
        <v>52</v>
      </c>
      <c r="C112" s="242"/>
      <c r="D112" s="243"/>
      <c r="E112" s="93">
        <f>+E104</f>
        <v>0</v>
      </c>
    </row>
    <row r="113" spans="1:5" ht="15.75" thickBot="1" x14ac:dyDescent="0.3">
      <c r="A113" s="244" t="s">
        <v>53</v>
      </c>
      <c r="B113" s="245"/>
      <c r="C113" s="245"/>
      <c r="D113" s="246"/>
      <c r="E113" s="145">
        <f>+E111+E112</f>
        <v>0</v>
      </c>
    </row>
    <row r="114" spans="1:5" x14ac:dyDescent="0.25">
      <c r="A114" s="132"/>
      <c r="B114" s="133"/>
      <c r="C114" s="133"/>
      <c r="D114" s="133"/>
      <c r="E114" s="134"/>
    </row>
    <row r="115" spans="1:5" x14ac:dyDescent="0.25">
      <c r="A115" s="135"/>
      <c r="B115" s="136"/>
      <c r="C115" s="136"/>
      <c r="D115" s="137"/>
      <c r="E115" s="138"/>
    </row>
  </sheetData>
  <mergeCells count="70">
    <mergeCell ref="C13:E13"/>
    <mergeCell ref="A1:E1"/>
    <mergeCell ref="A2:E2"/>
    <mergeCell ref="C3:E3"/>
    <mergeCell ref="C4:E4"/>
    <mergeCell ref="C5:E5"/>
    <mergeCell ref="C6:E6"/>
    <mergeCell ref="A7:E7"/>
    <mergeCell ref="A8:E8"/>
    <mergeCell ref="A9:E9"/>
    <mergeCell ref="A10:D10"/>
    <mergeCell ref="C11:E11"/>
    <mergeCell ref="A25:D25"/>
    <mergeCell ref="C14:E14"/>
    <mergeCell ref="A15:D15"/>
    <mergeCell ref="B16:D16"/>
    <mergeCell ref="C17:D17"/>
    <mergeCell ref="C18:D18"/>
    <mergeCell ref="C19:D19"/>
    <mergeCell ref="C20:D20"/>
    <mergeCell ref="C21:D21"/>
    <mergeCell ref="C22:D22"/>
    <mergeCell ref="C23:D23"/>
    <mergeCell ref="A24:D24"/>
    <mergeCell ref="B54:D54"/>
    <mergeCell ref="B26:D26"/>
    <mergeCell ref="A29:C29"/>
    <mergeCell ref="A30:E30"/>
    <mergeCell ref="B31:D31"/>
    <mergeCell ref="A40:C40"/>
    <mergeCell ref="B41:D41"/>
    <mergeCell ref="A47:D47"/>
    <mergeCell ref="A48:D48"/>
    <mergeCell ref="B49:D49"/>
    <mergeCell ref="A52:C52"/>
    <mergeCell ref="A53:D53"/>
    <mergeCell ref="B81:D81"/>
    <mergeCell ref="A61:C61"/>
    <mergeCell ref="A62:D62"/>
    <mergeCell ref="B63:D63"/>
    <mergeCell ref="A70:C70"/>
    <mergeCell ref="A71:D71"/>
    <mergeCell ref="B72:D72"/>
    <mergeCell ref="A74:C74"/>
    <mergeCell ref="A75:D75"/>
    <mergeCell ref="B76:D76"/>
    <mergeCell ref="A79:C79"/>
    <mergeCell ref="A80:D80"/>
    <mergeCell ref="A105:D105"/>
    <mergeCell ref="A88:C88"/>
    <mergeCell ref="A89:B89"/>
    <mergeCell ref="C89:D89"/>
    <mergeCell ref="A91:D91"/>
    <mergeCell ref="B92:D92"/>
    <mergeCell ref="C93:D93"/>
    <mergeCell ref="C94:D94"/>
    <mergeCell ref="A95:A102"/>
    <mergeCell ref="B95:C95"/>
    <mergeCell ref="A104:D104"/>
    <mergeCell ref="A90:D90"/>
    <mergeCell ref="B98:C98"/>
    <mergeCell ref="B99:C99"/>
    <mergeCell ref="B112:D112"/>
    <mergeCell ref="A113:D113"/>
    <mergeCell ref="B106:D106"/>
    <mergeCell ref="B107:D107"/>
    <mergeCell ref="B108:D108"/>
    <mergeCell ref="B109:D109"/>
    <mergeCell ref="B110:D110"/>
    <mergeCell ref="A111:C111"/>
  </mergeCells>
  <hyperlinks>
    <hyperlink ref="B39" r:id="rId1" display="08 - Sebrae 0,3% ou 0,6% - IN nº 03, MPS/SRP/2005, Anexo II e III ver código da Tabela" xr:uid="{00000000-0004-0000-0300-000000000000}"/>
  </hyperlinks>
  <pageMargins left="0.511811024" right="0.511811024" top="0.78740157499999996" bottom="0.78740157499999996" header="0.31496062000000002" footer="0.31496062000000002"/>
  <pageSetup paperSize="9" scale="94" orientation="portrait" r:id="rId2"/>
  <rowBreaks count="2" manualBreakCount="2">
    <brk id="47" max="4" man="1"/>
    <brk id="9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5"/>
  <sheetViews>
    <sheetView showGridLines="0" showWhiteSpace="0" view="pageBreakPreview" topLeftCell="A94" zoomScaleNormal="90" zoomScaleSheetLayoutView="100" workbookViewId="0">
      <selection activeCell="E47" sqref="E47"/>
    </sheetView>
  </sheetViews>
  <sheetFormatPr defaultRowHeight="15" x14ac:dyDescent="0.25"/>
  <cols>
    <col min="1" max="1" width="5.5703125" customWidth="1"/>
    <col min="2" max="2" width="40.140625" customWidth="1"/>
    <col min="3" max="3" width="6" customWidth="1"/>
    <col min="4" max="4" width="19.28515625" customWidth="1"/>
    <col min="5" max="5" width="20" customWidth="1"/>
  </cols>
  <sheetData>
    <row r="1" spans="1:5" ht="21.75" thickBot="1" x14ac:dyDescent="0.3">
      <c r="A1" s="291" t="s">
        <v>134</v>
      </c>
      <c r="B1" s="292"/>
      <c r="C1" s="292"/>
      <c r="D1" s="292"/>
      <c r="E1" s="293"/>
    </row>
    <row r="2" spans="1:5" x14ac:dyDescent="0.25">
      <c r="A2" s="294" t="s">
        <v>209</v>
      </c>
      <c r="B2" s="295"/>
      <c r="C2" s="295"/>
      <c r="D2" s="295"/>
      <c r="E2" s="296"/>
    </row>
    <row r="3" spans="1:5" x14ac:dyDescent="0.25">
      <c r="A3" s="85" t="s">
        <v>0</v>
      </c>
      <c r="B3" s="86" t="s">
        <v>1</v>
      </c>
      <c r="C3" s="297" t="s">
        <v>309</v>
      </c>
      <c r="D3" s="298"/>
      <c r="E3" s="299"/>
    </row>
    <row r="4" spans="1:5" x14ac:dyDescent="0.25">
      <c r="A4" s="85" t="s">
        <v>2</v>
      </c>
      <c r="B4" s="86" t="s">
        <v>140</v>
      </c>
      <c r="C4" s="300" t="s">
        <v>210</v>
      </c>
      <c r="D4" s="301"/>
      <c r="E4" s="302"/>
    </row>
    <row r="5" spans="1:5" ht="25.5" x14ac:dyDescent="0.25">
      <c r="A5" s="85" t="s">
        <v>3</v>
      </c>
      <c r="B5" s="86" t="s">
        <v>4</v>
      </c>
      <c r="C5" s="300" t="s">
        <v>310</v>
      </c>
      <c r="D5" s="301"/>
      <c r="E5" s="302"/>
    </row>
    <row r="6" spans="1:5" x14ac:dyDescent="0.25">
      <c r="A6" s="85" t="s">
        <v>5</v>
      </c>
      <c r="B6" s="86" t="s">
        <v>211</v>
      </c>
      <c r="C6" s="300">
        <v>12</v>
      </c>
      <c r="D6" s="301"/>
      <c r="E6" s="302"/>
    </row>
    <row r="7" spans="1:5" x14ac:dyDescent="0.25">
      <c r="A7" s="303" t="s">
        <v>6</v>
      </c>
      <c r="B7" s="304"/>
      <c r="C7" s="304"/>
      <c r="D7" s="304"/>
      <c r="E7" s="305"/>
    </row>
    <row r="8" spans="1:5" x14ac:dyDescent="0.25">
      <c r="A8" s="306" t="s">
        <v>7</v>
      </c>
      <c r="B8" s="307"/>
      <c r="C8" s="307"/>
      <c r="D8" s="307"/>
      <c r="E8" s="308"/>
    </row>
    <row r="9" spans="1:5" x14ac:dyDescent="0.25">
      <c r="A9" s="294" t="s">
        <v>8</v>
      </c>
      <c r="B9" s="295"/>
      <c r="C9" s="295"/>
      <c r="D9" s="295"/>
      <c r="E9" s="296"/>
    </row>
    <row r="10" spans="1:5" x14ac:dyDescent="0.25">
      <c r="A10" s="250" t="s">
        <v>9</v>
      </c>
      <c r="B10" s="251"/>
      <c r="C10" s="251"/>
      <c r="D10" s="252"/>
      <c r="E10" s="87" t="s">
        <v>10</v>
      </c>
    </row>
    <row r="11" spans="1:5" ht="27.75" customHeight="1" x14ac:dyDescent="0.25">
      <c r="A11" s="85"/>
      <c r="B11" s="148" t="s">
        <v>135</v>
      </c>
      <c r="C11" s="288" t="s">
        <v>138</v>
      </c>
      <c r="D11" s="289"/>
      <c r="E11" s="290"/>
    </row>
    <row r="12" spans="1:5" x14ac:dyDescent="0.25">
      <c r="A12" s="85">
        <v>2</v>
      </c>
      <c r="B12" s="88" t="s">
        <v>11</v>
      </c>
      <c r="C12" s="89"/>
      <c r="D12" s="90"/>
      <c r="E12" s="91">
        <v>0</v>
      </c>
    </row>
    <row r="13" spans="1:5" ht="27.6" customHeight="1" x14ac:dyDescent="0.25">
      <c r="A13" s="85">
        <v>3</v>
      </c>
      <c r="B13" s="148" t="s">
        <v>12</v>
      </c>
      <c r="C13" s="309" t="s">
        <v>311</v>
      </c>
      <c r="D13" s="310"/>
      <c r="E13" s="311"/>
    </row>
    <row r="14" spans="1:5" x14ac:dyDescent="0.25">
      <c r="A14" s="85">
        <v>4</v>
      </c>
      <c r="B14" s="92" t="s">
        <v>13</v>
      </c>
      <c r="C14" s="281">
        <v>44572</v>
      </c>
      <c r="D14" s="282"/>
      <c r="E14" s="283"/>
    </row>
    <row r="15" spans="1:5" x14ac:dyDescent="0.25">
      <c r="A15" s="257" t="s">
        <v>14</v>
      </c>
      <c r="B15" s="258"/>
      <c r="C15" s="258"/>
      <c r="D15" s="259"/>
      <c r="E15" s="93"/>
    </row>
    <row r="16" spans="1:5" x14ac:dyDescent="0.25">
      <c r="A16" s="190">
        <v>1</v>
      </c>
      <c r="B16" s="241" t="s">
        <v>15</v>
      </c>
      <c r="C16" s="260"/>
      <c r="D16" s="261"/>
      <c r="E16" s="95" t="s">
        <v>10</v>
      </c>
    </row>
    <row r="17" spans="1:5" x14ac:dyDescent="0.25">
      <c r="A17" s="96" t="s">
        <v>0</v>
      </c>
      <c r="B17" s="97" t="s">
        <v>16</v>
      </c>
      <c r="C17" s="284"/>
      <c r="D17" s="285"/>
      <c r="E17" s="98">
        <f>+E12</f>
        <v>0</v>
      </c>
    </row>
    <row r="18" spans="1:5" x14ac:dyDescent="0.25">
      <c r="A18" s="96" t="s">
        <v>2</v>
      </c>
      <c r="B18" s="97" t="s">
        <v>17</v>
      </c>
      <c r="C18" s="286" t="s">
        <v>18</v>
      </c>
      <c r="D18" s="287"/>
      <c r="E18" s="99">
        <v>0</v>
      </c>
    </row>
    <row r="19" spans="1:5" ht="14.45" customHeight="1" x14ac:dyDescent="0.25">
      <c r="A19" s="96" t="s">
        <v>3</v>
      </c>
      <c r="B19" s="186" t="s">
        <v>312</v>
      </c>
      <c r="C19" s="286" t="s">
        <v>366</v>
      </c>
      <c r="D19" s="287"/>
      <c r="E19" s="99">
        <v>0</v>
      </c>
    </row>
    <row r="20" spans="1:5" x14ac:dyDescent="0.25">
      <c r="A20" s="96" t="s">
        <v>5</v>
      </c>
      <c r="B20" s="97" t="s">
        <v>19</v>
      </c>
      <c r="C20" s="286" t="s">
        <v>20</v>
      </c>
      <c r="D20" s="287"/>
      <c r="E20" s="99">
        <f>(((E17/180)*0.2))*0</f>
        <v>0</v>
      </c>
    </row>
    <row r="21" spans="1:5" ht="24" customHeight="1" x14ac:dyDescent="0.25">
      <c r="A21" s="96" t="s">
        <v>21</v>
      </c>
      <c r="B21" s="97" t="s">
        <v>22</v>
      </c>
      <c r="C21" s="286" t="s">
        <v>23</v>
      </c>
      <c r="D21" s="287"/>
      <c r="E21" s="99">
        <v>0</v>
      </c>
    </row>
    <row r="22" spans="1:5" x14ac:dyDescent="0.25">
      <c r="A22" s="96" t="s">
        <v>24</v>
      </c>
      <c r="B22" s="100" t="s">
        <v>136</v>
      </c>
      <c r="C22" s="286"/>
      <c r="D22" s="287"/>
      <c r="E22" s="99">
        <v>0</v>
      </c>
    </row>
    <row r="23" spans="1:5" x14ac:dyDescent="0.25">
      <c r="A23" s="96" t="s">
        <v>25</v>
      </c>
      <c r="B23" s="101" t="s">
        <v>137</v>
      </c>
      <c r="C23" s="286"/>
      <c r="D23" s="287"/>
      <c r="E23" s="99">
        <v>0</v>
      </c>
    </row>
    <row r="24" spans="1:5" x14ac:dyDescent="0.25">
      <c r="A24" s="253" t="s">
        <v>26</v>
      </c>
      <c r="B24" s="254"/>
      <c r="C24" s="254"/>
      <c r="D24" s="255"/>
      <c r="E24" s="139">
        <f>SUM(E17:E23)</f>
        <v>0</v>
      </c>
    </row>
    <row r="25" spans="1:5" x14ac:dyDescent="0.25">
      <c r="A25" s="257" t="s">
        <v>55</v>
      </c>
      <c r="B25" s="258"/>
      <c r="C25" s="258"/>
      <c r="D25" s="259"/>
      <c r="E25" s="93"/>
    </row>
    <row r="26" spans="1:5" x14ac:dyDescent="0.25">
      <c r="A26" s="190" t="s">
        <v>159</v>
      </c>
      <c r="B26" s="241" t="s">
        <v>214</v>
      </c>
      <c r="C26" s="260"/>
      <c r="D26" s="261"/>
      <c r="E26" s="95" t="s">
        <v>10</v>
      </c>
    </row>
    <row r="27" spans="1:5" x14ac:dyDescent="0.25">
      <c r="A27" s="102" t="s">
        <v>0</v>
      </c>
      <c r="B27" s="103" t="s">
        <v>33</v>
      </c>
      <c r="C27" s="92"/>
      <c r="D27" s="104">
        <f>1/12</f>
        <v>8.3299999999999999E-2</v>
      </c>
      <c r="E27" s="93">
        <f>ROUND(+$E$24*D27,2)</f>
        <v>0</v>
      </c>
    </row>
    <row r="28" spans="1:5" x14ac:dyDescent="0.25">
      <c r="A28" s="102" t="s">
        <v>2</v>
      </c>
      <c r="B28" s="103" t="s">
        <v>270</v>
      </c>
      <c r="C28" s="92"/>
      <c r="D28" s="104">
        <v>0.1111</v>
      </c>
      <c r="E28" s="93">
        <f>ROUND(+$E$24*D28,2)</f>
        <v>0</v>
      </c>
    </row>
    <row r="29" spans="1:5" x14ac:dyDescent="0.25">
      <c r="A29" s="253" t="s">
        <v>31</v>
      </c>
      <c r="B29" s="254"/>
      <c r="C29" s="277"/>
      <c r="D29" s="140">
        <f>SUM(D27:D28)</f>
        <v>0.19439999999999999</v>
      </c>
      <c r="E29" s="139">
        <f>SUM(E27:E28)</f>
        <v>0</v>
      </c>
    </row>
    <row r="30" spans="1:5" ht="26.25" customHeight="1" x14ac:dyDescent="0.25">
      <c r="A30" s="278" t="s">
        <v>215</v>
      </c>
      <c r="B30" s="279"/>
      <c r="C30" s="279"/>
      <c r="D30" s="279"/>
      <c r="E30" s="280"/>
    </row>
    <row r="31" spans="1:5" x14ac:dyDescent="0.25">
      <c r="A31" s="190" t="s">
        <v>160</v>
      </c>
      <c r="B31" s="241" t="s">
        <v>29</v>
      </c>
      <c r="C31" s="260"/>
      <c r="D31" s="261"/>
      <c r="E31" s="95" t="s">
        <v>10</v>
      </c>
    </row>
    <row r="32" spans="1:5" x14ac:dyDescent="0.25">
      <c r="A32" s="102" t="s">
        <v>0</v>
      </c>
      <c r="B32" s="105" t="s">
        <v>216</v>
      </c>
      <c r="C32" s="92"/>
      <c r="D32" s="104">
        <v>0.2</v>
      </c>
      <c r="E32" s="93">
        <f>(E24+E29)*D32</f>
        <v>0</v>
      </c>
    </row>
    <row r="33" spans="1:5" x14ac:dyDescent="0.25">
      <c r="A33" s="102" t="s">
        <v>2</v>
      </c>
      <c r="B33" s="106" t="s">
        <v>217</v>
      </c>
      <c r="C33" s="92"/>
      <c r="D33" s="104">
        <v>1.4999999999999999E-2</v>
      </c>
      <c r="E33" s="93">
        <f>(E24+E29)*D33</f>
        <v>0</v>
      </c>
    </row>
    <row r="34" spans="1:5" x14ac:dyDescent="0.25">
      <c r="A34" s="102" t="s">
        <v>3</v>
      </c>
      <c r="B34" s="92" t="s">
        <v>218</v>
      </c>
      <c r="C34" s="92"/>
      <c r="D34" s="104">
        <v>0.01</v>
      </c>
      <c r="E34" s="93">
        <f>(E24+E29)*D34</f>
        <v>0</v>
      </c>
    </row>
    <row r="35" spans="1:5" x14ac:dyDescent="0.25">
      <c r="A35" s="102" t="s">
        <v>5</v>
      </c>
      <c r="B35" s="107" t="s">
        <v>219</v>
      </c>
      <c r="C35" s="92"/>
      <c r="D35" s="104">
        <v>2E-3</v>
      </c>
      <c r="E35" s="93">
        <f>(E24+E29)*D35</f>
        <v>0</v>
      </c>
    </row>
    <row r="36" spans="1:5" x14ac:dyDescent="0.25">
      <c r="A36" s="102" t="s">
        <v>21</v>
      </c>
      <c r="B36" s="92" t="s">
        <v>220</v>
      </c>
      <c r="C36" s="92"/>
      <c r="D36" s="104">
        <v>2.5000000000000001E-2</v>
      </c>
      <c r="E36" s="93">
        <f>(E24+E29)*D36</f>
        <v>0</v>
      </c>
    </row>
    <row r="37" spans="1:5" x14ac:dyDescent="0.25">
      <c r="A37" s="102" t="s">
        <v>24</v>
      </c>
      <c r="B37" s="106" t="s">
        <v>221</v>
      </c>
      <c r="C37" s="92"/>
      <c r="D37" s="104">
        <v>0.08</v>
      </c>
      <c r="E37" s="93">
        <f>(E24+E29)*D37</f>
        <v>0</v>
      </c>
    </row>
    <row r="38" spans="1:5" x14ac:dyDescent="0.25">
      <c r="A38" s="102" t="s">
        <v>25</v>
      </c>
      <c r="B38" s="107" t="s">
        <v>313</v>
      </c>
      <c r="C38" s="92"/>
      <c r="D38" s="104">
        <v>0.03</v>
      </c>
      <c r="E38" s="93">
        <f>(E24+E29)*D38</f>
        <v>0</v>
      </c>
    </row>
    <row r="39" spans="1:5" x14ac:dyDescent="0.25">
      <c r="A39" s="102" t="s">
        <v>30</v>
      </c>
      <c r="B39" s="108" t="s">
        <v>223</v>
      </c>
      <c r="C39" s="92"/>
      <c r="D39" s="104">
        <v>6.0000000000000001E-3</v>
      </c>
      <c r="E39" s="93">
        <f>(E24+E29)*D39</f>
        <v>0</v>
      </c>
    </row>
    <row r="40" spans="1:5" x14ac:dyDescent="0.25">
      <c r="A40" s="253" t="s">
        <v>31</v>
      </c>
      <c r="B40" s="254"/>
      <c r="C40" s="277"/>
      <c r="D40" s="140">
        <f>SUM(D32:D39)</f>
        <v>0.36799999999999999</v>
      </c>
      <c r="E40" s="139">
        <f>SUM(E32:E39)</f>
        <v>0</v>
      </c>
    </row>
    <row r="41" spans="1:5" x14ac:dyDescent="0.25">
      <c r="A41" s="190" t="s">
        <v>161</v>
      </c>
      <c r="B41" s="241" t="s">
        <v>224</v>
      </c>
      <c r="C41" s="260"/>
      <c r="D41" s="261"/>
      <c r="E41" s="95" t="s">
        <v>10</v>
      </c>
    </row>
    <row r="42" spans="1:5" x14ac:dyDescent="0.25">
      <c r="A42" s="102" t="s">
        <v>0</v>
      </c>
      <c r="B42" s="101" t="s">
        <v>207</v>
      </c>
      <c r="C42" s="92"/>
      <c r="D42" s="100"/>
      <c r="E42" s="109">
        <v>0</v>
      </c>
    </row>
    <row r="43" spans="1:5" x14ac:dyDescent="0.25">
      <c r="A43" s="102" t="s">
        <v>2</v>
      </c>
      <c r="B43" s="101" t="s">
        <v>263</v>
      </c>
      <c r="C43" s="92"/>
      <c r="D43" s="110"/>
      <c r="E43" s="98">
        <v>0</v>
      </c>
    </row>
    <row r="44" spans="1:5" x14ac:dyDescent="0.25">
      <c r="A44" s="102" t="s">
        <v>3</v>
      </c>
      <c r="B44" s="101" t="s">
        <v>225</v>
      </c>
      <c r="C44" s="92"/>
      <c r="D44" s="110"/>
      <c r="E44" s="109">
        <v>0</v>
      </c>
    </row>
    <row r="45" spans="1:5" x14ac:dyDescent="0.25">
      <c r="A45" s="102" t="s">
        <v>5</v>
      </c>
      <c r="B45" s="101" t="s">
        <v>226</v>
      </c>
      <c r="C45" s="92"/>
      <c r="D45" s="110"/>
      <c r="E45" s="99">
        <f>(((E12*50%)*0.0199)*2)/12</f>
        <v>0</v>
      </c>
    </row>
    <row r="46" spans="1:5" x14ac:dyDescent="0.25">
      <c r="A46" s="102" t="s">
        <v>21</v>
      </c>
      <c r="B46" s="101" t="s">
        <v>227</v>
      </c>
      <c r="C46" s="92"/>
      <c r="D46" s="110"/>
      <c r="E46" s="93">
        <v>0</v>
      </c>
    </row>
    <row r="47" spans="1:5" x14ac:dyDescent="0.25">
      <c r="A47" s="253" t="s">
        <v>27</v>
      </c>
      <c r="B47" s="254"/>
      <c r="C47" s="254"/>
      <c r="D47" s="255"/>
      <c r="E47" s="139">
        <f>SUM(E42:E46)</f>
        <v>0</v>
      </c>
    </row>
    <row r="48" spans="1:5" x14ac:dyDescent="0.25">
      <c r="A48" s="257" t="s">
        <v>228</v>
      </c>
      <c r="B48" s="258"/>
      <c r="C48" s="258"/>
      <c r="D48" s="259"/>
      <c r="E48" s="93"/>
    </row>
    <row r="49" spans="1:7" x14ac:dyDescent="0.25">
      <c r="A49" s="190" t="s">
        <v>159</v>
      </c>
      <c r="B49" s="241" t="s">
        <v>229</v>
      </c>
      <c r="C49" s="260"/>
      <c r="D49" s="261"/>
      <c r="E49" s="95">
        <f>E29</f>
        <v>0</v>
      </c>
    </row>
    <row r="50" spans="1:7" x14ac:dyDescent="0.25">
      <c r="A50" s="190" t="s">
        <v>160</v>
      </c>
      <c r="B50" s="103" t="s">
        <v>230</v>
      </c>
      <c r="C50" s="92"/>
      <c r="D50" s="111" t="s">
        <v>133</v>
      </c>
      <c r="E50" s="93">
        <f>E40</f>
        <v>0</v>
      </c>
    </row>
    <row r="51" spans="1:7" x14ac:dyDescent="0.25">
      <c r="A51" s="190" t="s">
        <v>161</v>
      </c>
      <c r="B51" s="103" t="s">
        <v>231</v>
      </c>
      <c r="C51" s="92"/>
      <c r="D51" s="111" t="s">
        <v>133</v>
      </c>
      <c r="E51" s="93">
        <f>E47</f>
        <v>0</v>
      </c>
    </row>
    <row r="52" spans="1:7" x14ac:dyDescent="0.25">
      <c r="A52" s="253" t="s">
        <v>31</v>
      </c>
      <c r="B52" s="254"/>
      <c r="C52" s="277"/>
      <c r="D52" s="141" t="s">
        <v>133</v>
      </c>
      <c r="E52" s="139">
        <f>SUM(E49:E51)</f>
        <v>0</v>
      </c>
    </row>
    <row r="53" spans="1:7" x14ac:dyDescent="0.25">
      <c r="A53" s="257" t="s">
        <v>232</v>
      </c>
      <c r="B53" s="258"/>
      <c r="C53" s="258"/>
      <c r="D53" s="259"/>
      <c r="E53" s="93"/>
    </row>
    <row r="54" spans="1:7" x14ac:dyDescent="0.25">
      <c r="A54" s="190" t="s">
        <v>233</v>
      </c>
      <c r="B54" s="241" t="s">
        <v>34</v>
      </c>
      <c r="C54" s="260"/>
      <c r="D54" s="261"/>
      <c r="E54" s="95" t="s">
        <v>10</v>
      </c>
    </row>
    <row r="55" spans="1:7" x14ac:dyDescent="0.25">
      <c r="A55" s="102" t="s">
        <v>0</v>
      </c>
      <c r="B55" s="103" t="s">
        <v>234</v>
      </c>
      <c r="C55" s="106"/>
      <c r="D55" s="104">
        <v>4.1999999999999997E-3</v>
      </c>
      <c r="E55" s="93">
        <f t="shared" ref="E55:E60" si="0">ROUND(+D55*$E$24,2)</f>
        <v>0</v>
      </c>
    </row>
    <row r="56" spans="1:7" ht="25.5" x14ac:dyDescent="0.25">
      <c r="A56" s="102" t="s">
        <v>2</v>
      </c>
      <c r="B56" s="101" t="s">
        <v>235</v>
      </c>
      <c r="C56" s="106"/>
      <c r="D56" s="104">
        <f>D37*D55</f>
        <v>2.9999999999999997E-4</v>
      </c>
      <c r="E56" s="93">
        <f t="shared" si="0"/>
        <v>0</v>
      </c>
    </row>
    <row r="57" spans="1:7" ht="25.5" x14ac:dyDescent="0.25">
      <c r="A57" s="102" t="s">
        <v>3</v>
      </c>
      <c r="B57" s="101" t="s">
        <v>236</v>
      </c>
      <c r="C57" s="106"/>
      <c r="D57" s="104">
        <f>(0.08*0.4*0.9)*(1+0.0833+0.09075+0.03025)</f>
        <v>3.4700000000000002E-2</v>
      </c>
      <c r="E57" s="93">
        <f t="shared" si="0"/>
        <v>0</v>
      </c>
    </row>
    <row r="58" spans="1:7" x14ac:dyDescent="0.25">
      <c r="A58" s="102" t="s">
        <v>5</v>
      </c>
      <c r="B58" s="112" t="s">
        <v>35</v>
      </c>
      <c r="C58" s="106"/>
      <c r="D58" s="104">
        <v>1.9400000000000001E-2</v>
      </c>
      <c r="E58" s="93">
        <f t="shared" si="0"/>
        <v>0</v>
      </c>
    </row>
    <row r="59" spans="1:7" ht="25.5" customHeight="1" x14ac:dyDescent="0.25">
      <c r="A59" s="102" t="s">
        <v>21</v>
      </c>
      <c r="B59" s="101" t="s">
        <v>237</v>
      </c>
      <c r="C59" s="106"/>
      <c r="D59" s="104">
        <f>D40*D58</f>
        <v>7.1000000000000004E-3</v>
      </c>
      <c r="E59" s="93">
        <f t="shared" si="0"/>
        <v>0</v>
      </c>
    </row>
    <row r="60" spans="1:7" ht="28.5" customHeight="1" x14ac:dyDescent="0.25">
      <c r="A60" s="102" t="s">
        <v>24</v>
      </c>
      <c r="B60" s="101" t="s">
        <v>238</v>
      </c>
      <c r="C60" s="106"/>
      <c r="D60" s="104">
        <f>(0.08*0.4)*(0.08*D37)</f>
        <v>2.0000000000000001E-4</v>
      </c>
      <c r="E60" s="93">
        <f t="shared" si="0"/>
        <v>0</v>
      </c>
    </row>
    <row r="61" spans="1:7" x14ac:dyDescent="0.25">
      <c r="A61" s="253" t="s">
        <v>31</v>
      </c>
      <c r="B61" s="254"/>
      <c r="C61" s="254"/>
      <c r="D61" s="142">
        <f>SUM(D55:D60)</f>
        <v>6.59E-2</v>
      </c>
      <c r="E61" s="139">
        <f>SUM(E55:E60)</f>
        <v>0</v>
      </c>
    </row>
    <row r="62" spans="1:7" x14ac:dyDescent="0.25">
      <c r="A62" s="257" t="s">
        <v>239</v>
      </c>
      <c r="B62" s="258"/>
      <c r="C62" s="258"/>
      <c r="D62" s="259"/>
      <c r="E62" s="93"/>
    </row>
    <row r="63" spans="1:7" x14ac:dyDescent="0.25">
      <c r="A63" s="190" t="s">
        <v>28</v>
      </c>
      <c r="B63" s="276" t="s">
        <v>240</v>
      </c>
      <c r="C63" s="258"/>
      <c r="D63" s="259"/>
      <c r="E63" s="95" t="s">
        <v>10</v>
      </c>
    </row>
    <row r="64" spans="1:7" ht="15.75" x14ac:dyDescent="0.25">
      <c r="A64" s="102" t="s">
        <v>0</v>
      </c>
      <c r="B64" s="103" t="s">
        <v>269</v>
      </c>
      <c r="C64" s="92"/>
      <c r="D64" s="104">
        <f>D28/12</f>
        <v>9.2999999999999992E-3</v>
      </c>
      <c r="E64" s="93">
        <f>ROUND(+D64*$E$24,2)</f>
        <v>0</v>
      </c>
      <c r="G64" s="70"/>
    </row>
    <row r="65" spans="1:7" ht="25.5" x14ac:dyDescent="0.25">
      <c r="A65" s="102" t="s">
        <v>2</v>
      </c>
      <c r="B65" s="103" t="s">
        <v>241</v>
      </c>
      <c r="C65" s="92"/>
      <c r="D65" s="104">
        <v>1.66E-2</v>
      </c>
      <c r="E65" s="93">
        <f t="shared" ref="E65:E69" si="1">ROUND(+D65*$E$24,2)</f>
        <v>0</v>
      </c>
      <c r="G65" s="70"/>
    </row>
    <row r="66" spans="1:7" ht="15.75" x14ac:dyDescent="0.25">
      <c r="A66" s="102" t="s">
        <v>3</v>
      </c>
      <c r="B66" s="103" t="s">
        <v>242</v>
      </c>
      <c r="C66" s="92"/>
      <c r="D66" s="104">
        <v>2.0000000000000001E-4</v>
      </c>
      <c r="E66" s="93">
        <f t="shared" si="1"/>
        <v>0</v>
      </c>
      <c r="G66" s="70"/>
    </row>
    <row r="67" spans="1:7" ht="25.5" x14ac:dyDescent="0.25">
      <c r="A67" s="102" t="s">
        <v>5</v>
      </c>
      <c r="B67" s="103" t="s">
        <v>243</v>
      </c>
      <c r="C67" s="92"/>
      <c r="D67" s="104">
        <v>2.8E-3</v>
      </c>
      <c r="E67" s="93">
        <f t="shared" si="1"/>
        <v>0</v>
      </c>
      <c r="G67" s="70"/>
    </row>
    <row r="68" spans="1:7" ht="15.75" x14ac:dyDescent="0.25">
      <c r="A68" s="102" t="s">
        <v>21</v>
      </c>
      <c r="B68" s="103" t="s">
        <v>244</v>
      </c>
      <c r="C68" s="92"/>
      <c r="D68" s="104">
        <v>2.9999999999999997E-4</v>
      </c>
      <c r="E68" s="93">
        <f t="shared" si="1"/>
        <v>0</v>
      </c>
      <c r="G68" s="70"/>
    </row>
    <row r="69" spans="1:7" ht="15.75" x14ac:dyDescent="0.25">
      <c r="A69" s="102" t="s">
        <v>24</v>
      </c>
      <c r="B69" s="101" t="s">
        <v>271</v>
      </c>
      <c r="C69" s="106"/>
      <c r="D69" s="104">
        <f>SUM(D64:D68)*D40</f>
        <v>1.0699999999999999E-2</v>
      </c>
      <c r="E69" s="93">
        <f t="shared" si="1"/>
        <v>0</v>
      </c>
      <c r="G69" s="70"/>
    </row>
    <row r="70" spans="1:7" ht="15.75" x14ac:dyDescent="0.25">
      <c r="A70" s="253" t="s">
        <v>245</v>
      </c>
      <c r="B70" s="254"/>
      <c r="C70" s="255"/>
      <c r="D70" s="142">
        <f>SUM(D64:D69)</f>
        <v>3.9899999999999998E-2</v>
      </c>
      <c r="E70" s="139">
        <f>SUM(E64:E69)</f>
        <v>0</v>
      </c>
      <c r="G70" s="70"/>
    </row>
    <row r="71" spans="1:7" ht="15.75" x14ac:dyDescent="0.25">
      <c r="A71" s="257"/>
      <c r="B71" s="258"/>
      <c r="C71" s="258"/>
      <c r="D71" s="259"/>
      <c r="E71" s="93"/>
      <c r="G71" s="70"/>
    </row>
    <row r="72" spans="1:7" ht="15.75" x14ac:dyDescent="0.25">
      <c r="A72" s="190" t="s">
        <v>133</v>
      </c>
      <c r="B72" s="241" t="s">
        <v>246</v>
      </c>
      <c r="C72" s="260"/>
      <c r="D72" s="261"/>
      <c r="E72" s="95" t="s">
        <v>10</v>
      </c>
      <c r="G72" s="146"/>
    </row>
    <row r="73" spans="1:7" x14ac:dyDescent="0.25">
      <c r="A73" s="102" t="s">
        <v>0</v>
      </c>
      <c r="B73" s="103" t="s">
        <v>247</v>
      </c>
      <c r="C73" s="92"/>
      <c r="D73" s="104">
        <v>0</v>
      </c>
      <c r="E73" s="93">
        <f>ROUND(+$E$25*D73,2)</f>
        <v>0</v>
      </c>
    </row>
    <row r="74" spans="1:7" x14ac:dyDescent="0.25">
      <c r="A74" s="253" t="s">
        <v>31</v>
      </c>
      <c r="B74" s="254"/>
      <c r="C74" s="254"/>
      <c r="D74" s="140">
        <f>D73</f>
        <v>0</v>
      </c>
      <c r="E74" s="139">
        <f>E73</f>
        <v>0</v>
      </c>
    </row>
    <row r="75" spans="1:7" x14ac:dyDescent="0.25">
      <c r="A75" s="257" t="s">
        <v>248</v>
      </c>
      <c r="B75" s="258"/>
      <c r="C75" s="258"/>
      <c r="D75" s="259"/>
      <c r="E75" s="93"/>
    </row>
    <row r="76" spans="1:7" x14ac:dyDescent="0.25">
      <c r="A76" s="190">
        <v>4</v>
      </c>
      <c r="B76" s="241" t="s">
        <v>36</v>
      </c>
      <c r="C76" s="260"/>
      <c r="D76" s="261"/>
      <c r="E76" s="95" t="s">
        <v>10</v>
      </c>
    </row>
    <row r="77" spans="1:7" x14ac:dyDescent="0.25">
      <c r="A77" s="102" t="s">
        <v>28</v>
      </c>
      <c r="B77" s="103" t="s">
        <v>240</v>
      </c>
      <c r="C77" s="92"/>
      <c r="D77" s="104">
        <f>D70</f>
        <v>3.9899999999999998E-2</v>
      </c>
      <c r="E77" s="93">
        <f>E70</f>
        <v>0</v>
      </c>
    </row>
    <row r="78" spans="1:7" x14ac:dyDescent="0.25">
      <c r="A78" s="102" t="s">
        <v>32</v>
      </c>
      <c r="B78" s="103" t="s">
        <v>246</v>
      </c>
      <c r="C78" s="106"/>
      <c r="D78" s="104">
        <f>D74</f>
        <v>0</v>
      </c>
      <c r="E78" s="93">
        <f>E74</f>
        <v>0</v>
      </c>
    </row>
    <row r="79" spans="1:7" x14ac:dyDescent="0.25">
      <c r="A79" s="253" t="s">
        <v>249</v>
      </c>
      <c r="B79" s="254"/>
      <c r="C79" s="255"/>
      <c r="D79" s="142">
        <f>SUM(D74:D78)</f>
        <v>3.9899999999999998E-2</v>
      </c>
      <c r="E79" s="139">
        <f>SUM(E77+E78)</f>
        <v>0</v>
      </c>
    </row>
    <row r="80" spans="1:7" x14ac:dyDescent="0.25">
      <c r="A80" s="257" t="s">
        <v>250</v>
      </c>
      <c r="B80" s="258"/>
      <c r="C80" s="258"/>
      <c r="D80" s="259"/>
      <c r="E80" s="93"/>
    </row>
    <row r="81" spans="1:5" x14ac:dyDescent="0.25">
      <c r="A81" s="190">
        <v>5</v>
      </c>
      <c r="B81" s="241" t="s">
        <v>251</v>
      </c>
      <c r="C81" s="260"/>
      <c r="D81" s="261"/>
      <c r="E81" s="95" t="s">
        <v>10</v>
      </c>
    </row>
    <row r="82" spans="1:5" x14ac:dyDescent="0.25">
      <c r="A82" s="102" t="s">
        <v>0</v>
      </c>
      <c r="B82" s="103" t="s">
        <v>265</v>
      </c>
      <c r="C82" s="92"/>
      <c r="D82" s="104" t="s">
        <v>133</v>
      </c>
      <c r="E82" s="93">
        <f>UNIFORMES!F13</f>
        <v>0</v>
      </c>
    </row>
    <row r="83" spans="1:5" x14ac:dyDescent="0.25">
      <c r="A83" s="102" t="s">
        <v>2</v>
      </c>
      <c r="B83" s="103" t="s">
        <v>252</v>
      </c>
      <c r="C83" s="92"/>
      <c r="D83" s="104"/>
      <c r="E83" s="93">
        <f>'MATERIAS E EQUIPAMENTOS'!L64</f>
        <v>0</v>
      </c>
    </row>
    <row r="84" spans="1:5" x14ac:dyDescent="0.25">
      <c r="A84" s="102" t="s">
        <v>3</v>
      </c>
      <c r="B84" s="103" t="s">
        <v>180</v>
      </c>
      <c r="C84" s="92"/>
      <c r="D84" s="104"/>
      <c r="E84" s="93">
        <f>'MATERIAS E EQUIPAMENTOS'!L65</f>
        <v>0</v>
      </c>
    </row>
    <row r="85" spans="1:5" ht="26.25" customHeight="1" x14ac:dyDescent="0.25">
      <c r="A85" s="102" t="s">
        <v>5</v>
      </c>
      <c r="B85" s="103" t="s">
        <v>354</v>
      </c>
      <c r="C85" s="92"/>
      <c r="D85" s="104"/>
      <c r="E85" s="93">
        <f>'SEGURANÇA  CURSOS TREINA'!F5</f>
        <v>0</v>
      </c>
    </row>
    <row r="86" spans="1:5" ht="26.25" customHeight="1" x14ac:dyDescent="0.25">
      <c r="A86" s="102" t="s">
        <v>21</v>
      </c>
      <c r="B86" s="103" t="s">
        <v>355</v>
      </c>
      <c r="C86" s="106"/>
      <c r="D86" s="104" t="s">
        <v>133</v>
      </c>
      <c r="E86" s="93">
        <f>'SEGURANÇA  CURSOS TREINA'!F11</f>
        <v>0</v>
      </c>
    </row>
    <row r="87" spans="1:5" ht="25.5" x14ac:dyDescent="0.25">
      <c r="A87" s="102" t="s">
        <v>24</v>
      </c>
      <c r="B87" s="103" t="s">
        <v>301</v>
      </c>
      <c r="C87" s="106"/>
      <c r="D87" s="104" t="s">
        <v>133</v>
      </c>
      <c r="E87" s="93">
        <f>'SEGURANÇA  CURSOS TREINA'!F17</f>
        <v>0</v>
      </c>
    </row>
    <row r="88" spans="1:5" x14ac:dyDescent="0.25">
      <c r="A88" s="253" t="s">
        <v>255</v>
      </c>
      <c r="B88" s="254"/>
      <c r="C88" s="255"/>
      <c r="D88" s="142" t="s">
        <v>133</v>
      </c>
      <c r="E88" s="139">
        <f>SUM(E82:E87)</f>
        <v>0</v>
      </c>
    </row>
    <row r="89" spans="1:5" x14ac:dyDescent="0.25">
      <c r="A89" s="250" t="s">
        <v>37</v>
      </c>
      <c r="B89" s="252"/>
      <c r="C89" s="256" t="s">
        <v>31</v>
      </c>
      <c r="D89" s="252"/>
      <c r="E89" s="93">
        <f>SUM(E24+E52+E61+E79+E88)</f>
        <v>0</v>
      </c>
    </row>
    <row r="90" spans="1:5" ht="27" customHeight="1" x14ac:dyDescent="0.25">
      <c r="A90" s="271" t="s">
        <v>256</v>
      </c>
      <c r="B90" s="272"/>
      <c r="C90" s="272"/>
      <c r="D90" s="273"/>
      <c r="E90" s="139">
        <f>E89</f>
        <v>0</v>
      </c>
    </row>
    <row r="91" spans="1:5" x14ac:dyDescent="0.25">
      <c r="A91" s="257" t="s">
        <v>257</v>
      </c>
      <c r="B91" s="258"/>
      <c r="C91" s="258" t="s">
        <v>38</v>
      </c>
      <c r="D91" s="259" t="s">
        <v>39</v>
      </c>
      <c r="E91" s="93"/>
    </row>
    <row r="92" spans="1:5" x14ac:dyDescent="0.25">
      <c r="A92" s="190">
        <v>6</v>
      </c>
      <c r="B92" s="241" t="s">
        <v>40</v>
      </c>
      <c r="C92" s="260"/>
      <c r="D92" s="261"/>
      <c r="E92" s="95" t="s">
        <v>10</v>
      </c>
    </row>
    <row r="93" spans="1:5" x14ac:dyDescent="0.25">
      <c r="A93" s="190" t="s">
        <v>0</v>
      </c>
      <c r="B93" s="103" t="s">
        <v>41</v>
      </c>
      <c r="C93" s="262">
        <v>0.03</v>
      </c>
      <c r="D93" s="263"/>
      <c r="E93" s="93">
        <f>+E90*C93</f>
        <v>0</v>
      </c>
    </row>
    <row r="94" spans="1:5" x14ac:dyDescent="0.25">
      <c r="A94" s="190" t="s">
        <v>2</v>
      </c>
      <c r="B94" s="103" t="s">
        <v>42</v>
      </c>
      <c r="C94" s="262">
        <v>6.7900000000000002E-2</v>
      </c>
      <c r="D94" s="263"/>
      <c r="E94" s="93">
        <f>C94*(+E90+E93)</f>
        <v>0</v>
      </c>
    </row>
    <row r="95" spans="1:5" ht="15" customHeight="1" x14ac:dyDescent="0.25">
      <c r="A95" s="264" t="s">
        <v>3</v>
      </c>
      <c r="B95" s="266" t="s">
        <v>54</v>
      </c>
      <c r="C95" s="267"/>
      <c r="D95" s="113">
        <f>+(100-14.25)/100</f>
        <v>0.85750000000000004</v>
      </c>
      <c r="E95" s="93">
        <f>+E90+E93+E94</f>
        <v>0</v>
      </c>
    </row>
    <row r="96" spans="1:5" x14ac:dyDescent="0.25">
      <c r="A96" s="264"/>
      <c r="B96" s="189" t="s">
        <v>43</v>
      </c>
      <c r="C96" s="112"/>
      <c r="D96" s="112"/>
      <c r="E96" s="115">
        <f>+E95/D95</f>
        <v>0</v>
      </c>
    </row>
    <row r="97" spans="1:5" x14ac:dyDescent="0.25">
      <c r="A97" s="264"/>
      <c r="B97" s="116" t="s">
        <v>44</v>
      </c>
      <c r="C97" s="117"/>
      <c r="D97" s="118"/>
      <c r="E97" s="93"/>
    </row>
    <row r="98" spans="1:5" x14ac:dyDescent="0.25">
      <c r="A98" s="264"/>
      <c r="B98" s="274" t="s">
        <v>266</v>
      </c>
      <c r="C98" s="275"/>
      <c r="D98" s="104">
        <v>1.6500000000000001E-2</v>
      </c>
      <c r="E98" s="93">
        <f>+E96*D98</f>
        <v>0</v>
      </c>
    </row>
    <row r="99" spans="1:5" x14ac:dyDescent="0.25">
      <c r="A99" s="264"/>
      <c r="B99" s="274" t="s">
        <v>267</v>
      </c>
      <c r="C99" s="275"/>
      <c r="D99" s="104">
        <v>7.5999999999999998E-2</v>
      </c>
      <c r="E99" s="93">
        <f>+E96*D99</f>
        <v>0</v>
      </c>
    </row>
    <row r="100" spans="1:5" x14ac:dyDescent="0.25">
      <c r="A100" s="264"/>
      <c r="B100" s="121" t="s">
        <v>45</v>
      </c>
      <c r="C100" s="122"/>
      <c r="D100" s="105"/>
      <c r="E100" s="93"/>
    </row>
    <row r="101" spans="1:5" x14ac:dyDescent="0.25">
      <c r="A101" s="264"/>
      <c r="B101" s="121" t="s">
        <v>46</v>
      </c>
      <c r="C101" s="122"/>
      <c r="D101" s="123"/>
      <c r="E101" s="93"/>
    </row>
    <row r="102" spans="1:5" ht="15.75" thickBot="1" x14ac:dyDescent="0.3">
      <c r="A102" s="265"/>
      <c r="B102" s="124" t="s">
        <v>181</v>
      </c>
      <c r="C102" s="125"/>
      <c r="D102" s="126">
        <v>0.05</v>
      </c>
      <c r="E102" s="127">
        <f>+E96*D102</f>
        <v>0</v>
      </c>
    </row>
    <row r="103" spans="1:5" ht="15.75" thickBot="1" x14ac:dyDescent="0.3">
      <c r="A103" s="128"/>
      <c r="B103" s="129" t="s">
        <v>47</v>
      </c>
      <c r="C103" s="129"/>
      <c r="D103" s="130">
        <f>SUM(D98:D102)</f>
        <v>0.14249999999999999</v>
      </c>
      <c r="E103" s="131">
        <f>SUM(E98:E102)</f>
        <v>0</v>
      </c>
    </row>
    <row r="104" spans="1:5" x14ac:dyDescent="0.25">
      <c r="A104" s="268" t="s">
        <v>48</v>
      </c>
      <c r="B104" s="269"/>
      <c r="C104" s="269"/>
      <c r="D104" s="270"/>
      <c r="E104" s="144">
        <f>+E93+E94+E103</f>
        <v>0</v>
      </c>
    </row>
    <row r="105" spans="1:5" x14ac:dyDescent="0.25">
      <c r="A105" s="250" t="s">
        <v>49</v>
      </c>
      <c r="B105" s="251"/>
      <c r="C105" s="251"/>
      <c r="D105" s="252"/>
      <c r="E105" s="87" t="s">
        <v>10</v>
      </c>
    </row>
    <row r="106" spans="1:5" x14ac:dyDescent="0.25">
      <c r="A106" s="190" t="s">
        <v>0</v>
      </c>
      <c r="B106" s="241" t="s">
        <v>50</v>
      </c>
      <c r="C106" s="242"/>
      <c r="D106" s="243"/>
      <c r="E106" s="93">
        <f>+E24</f>
        <v>0</v>
      </c>
    </row>
    <row r="107" spans="1:5" x14ac:dyDescent="0.25">
      <c r="A107" s="190" t="s">
        <v>2</v>
      </c>
      <c r="B107" s="241" t="s">
        <v>258</v>
      </c>
      <c r="C107" s="242"/>
      <c r="D107" s="243"/>
      <c r="E107" s="93">
        <f>E52</f>
        <v>0</v>
      </c>
    </row>
    <row r="108" spans="1:5" x14ac:dyDescent="0.25">
      <c r="A108" s="190" t="s">
        <v>3</v>
      </c>
      <c r="B108" s="241" t="s">
        <v>259</v>
      </c>
      <c r="C108" s="242"/>
      <c r="D108" s="243"/>
      <c r="E108" s="93">
        <f>E61</f>
        <v>0</v>
      </c>
    </row>
    <row r="109" spans="1:5" x14ac:dyDescent="0.25">
      <c r="A109" s="190" t="s">
        <v>5</v>
      </c>
      <c r="B109" s="241" t="s">
        <v>260</v>
      </c>
      <c r="C109" s="242"/>
      <c r="D109" s="243"/>
      <c r="E109" s="93">
        <f>E79</f>
        <v>0</v>
      </c>
    </row>
    <row r="110" spans="1:5" x14ac:dyDescent="0.25">
      <c r="A110" s="190" t="s">
        <v>21</v>
      </c>
      <c r="B110" s="241" t="s">
        <v>261</v>
      </c>
      <c r="C110" s="242"/>
      <c r="D110" s="243"/>
      <c r="E110" s="93">
        <f>E88</f>
        <v>0</v>
      </c>
    </row>
    <row r="111" spans="1:5" x14ac:dyDescent="0.25">
      <c r="A111" s="247" t="s">
        <v>51</v>
      </c>
      <c r="B111" s="248"/>
      <c r="C111" s="249"/>
      <c r="D111" s="111"/>
      <c r="E111" s="93">
        <f>SUM(E106:E110)</f>
        <v>0</v>
      </c>
    </row>
    <row r="112" spans="1:5" x14ac:dyDescent="0.25">
      <c r="A112" s="190" t="s">
        <v>24</v>
      </c>
      <c r="B112" s="241" t="s">
        <v>52</v>
      </c>
      <c r="C112" s="242"/>
      <c r="D112" s="243"/>
      <c r="E112" s="93">
        <f>+E104</f>
        <v>0</v>
      </c>
    </row>
    <row r="113" spans="1:5" ht="15.75" thickBot="1" x14ac:dyDescent="0.3">
      <c r="A113" s="244" t="s">
        <v>53</v>
      </c>
      <c r="B113" s="245"/>
      <c r="C113" s="245"/>
      <c r="D113" s="246"/>
      <c r="E113" s="145">
        <f>+E111+E112</f>
        <v>0</v>
      </c>
    </row>
    <row r="114" spans="1:5" x14ac:dyDescent="0.25">
      <c r="A114" s="132"/>
      <c r="B114" s="133"/>
      <c r="C114" s="133"/>
      <c r="D114" s="133"/>
      <c r="E114" s="134"/>
    </row>
    <row r="115" spans="1:5" x14ac:dyDescent="0.25">
      <c r="A115" s="135"/>
      <c r="B115" s="136"/>
      <c r="C115" s="136"/>
      <c r="D115" s="137"/>
      <c r="E115" s="138"/>
    </row>
  </sheetData>
  <mergeCells count="70">
    <mergeCell ref="B112:D112"/>
    <mergeCell ref="A113:D113"/>
    <mergeCell ref="B106:D106"/>
    <mergeCell ref="B107:D107"/>
    <mergeCell ref="B108:D108"/>
    <mergeCell ref="B109:D109"/>
    <mergeCell ref="B110:D110"/>
    <mergeCell ref="A111:C111"/>
    <mergeCell ref="A105:D105"/>
    <mergeCell ref="A88:C88"/>
    <mergeCell ref="A89:B89"/>
    <mergeCell ref="C89:D89"/>
    <mergeCell ref="A91:D91"/>
    <mergeCell ref="B92:D92"/>
    <mergeCell ref="C93:D93"/>
    <mergeCell ref="C94:D94"/>
    <mergeCell ref="A95:A102"/>
    <mergeCell ref="B95:C95"/>
    <mergeCell ref="A104:D104"/>
    <mergeCell ref="A90:D90"/>
    <mergeCell ref="B99:C99"/>
    <mergeCell ref="B98:C98"/>
    <mergeCell ref="B81:D81"/>
    <mergeCell ref="A61:C61"/>
    <mergeCell ref="A62:D62"/>
    <mergeCell ref="B63:D63"/>
    <mergeCell ref="A70:C70"/>
    <mergeCell ref="A71:D71"/>
    <mergeCell ref="B72:D72"/>
    <mergeCell ref="A74:C74"/>
    <mergeCell ref="A75:D75"/>
    <mergeCell ref="B76:D76"/>
    <mergeCell ref="A79:C79"/>
    <mergeCell ref="A80:D80"/>
    <mergeCell ref="B54:D54"/>
    <mergeCell ref="B26:D26"/>
    <mergeCell ref="A29:C29"/>
    <mergeCell ref="A30:E30"/>
    <mergeCell ref="B31:D31"/>
    <mergeCell ref="A40:C40"/>
    <mergeCell ref="B41:D41"/>
    <mergeCell ref="A47:D47"/>
    <mergeCell ref="A48:D48"/>
    <mergeCell ref="B49:D49"/>
    <mergeCell ref="A52:C52"/>
    <mergeCell ref="A53:D53"/>
    <mergeCell ref="A25:D25"/>
    <mergeCell ref="C14:E14"/>
    <mergeCell ref="A15:D15"/>
    <mergeCell ref="B16:D16"/>
    <mergeCell ref="C17:D17"/>
    <mergeCell ref="C18:D18"/>
    <mergeCell ref="C19:D19"/>
    <mergeCell ref="C20:D20"/>
    <mergeCell ref="C21:D21"/>
    <mergeCell ref="C22:D22"/>
    <mergeCell ref="C23:D23"/>
    <mergeCell ref="A24:D24"/>
    <mergeCell ref="C13:E13"/>
    <mergeCell ref="A1:E1"/>
    <mergeCell ref="A2:E2"/>
    <mergeCell ref="C3:E3"/>
    <mergeCell ref="C4:E4"/>
    <mergeCell ref="C5:E5"/>
    <mergeCell ref="C6:E6"/>
    <mergeCell ref="A7:E7"/>
    <mergeCell ref="A8:E8"/>
    <mergeCell ref="A9:E9"/>
    <mergeCell ref="A10:D10"/>
    <mergeCell ref="C11:E11"/>
  </mergeCells>
  <hyperlinks>
    <hyperlink ref="B39" r:id="rId1" display="08 - Sebrae 0,3% ou 0,6% - IN nº 03, MPS/SRP/2005, Anexo II e III ver código da Tabela" xr:uid="{00000000-0004-0000-0400-000000000000}"/>
  </hyperlinks>
  <pageMargins left="0.511811024" right="0.511811024" top="0.78740157499999996" bottom="0.78740157499999996" header="0.31496062000000002" footer="0.31496062000000002"/>
  <pageSetup paperSize="9" scale="94" orientation="portrait" r:id="rId2"/>
  <rowBreaks count="2" manualBreakCount="2">
    <brk id="47" max="4" man="1"/>
    <brk id="9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4"/>
  <sheetViews>
    <sheetView showGridLines="0" view="pageBreakPreview" zoomScale="115" zoomScaleNormal="100" zoomScaleSheetLayoutView="115" workbookViewId="0">
      <selection activeCell="S32" sqref="S32"/>
    </sheetView>
  </sheetViews>
  <sheetFormatPr defaultRowHeight="15" x14ac:dyDescent="0.25"/>
  <cols>
    <col min="1" max="1" width="8" customWidth="1"/>
    <col min="2" max="2" width="44.5703125" customWidth="1"/>
    <col min="3" max="3" width="5.7109375" customWidth="1"/>
    <col min="4" max="4" width="16.5703125" customWidth="1"/>
    <col min="5" max="5" width="15.5703125" customWidth="1"/>
  </cols>
  <sheetData>
    <row r="1" spans="1:5" ht="21.75" thickBot="1" x14ac:dyDescent="0.3">
      <c r="A1" s="291" t="s">
        <v>134</v>
      </c>
      <c r="B1" s="292"/>
      <c r="C1" s="292"/>
      <c r="D1" s="292"/>
      <c r="E1" s="293"/>
    </row>
    <row r="2" spans="1:5" x14ac:dyDescent="0.25">
      <c r="A2" s="294" t="s">
        <v>209</v>
      </c>
      <c r="B2" s="295"/>
      <c r="C2" s="295"/>
      <c r="D2" s="295"/>
      <c r="E2" s="296"/>
    </row>
    <row r="3" spans="1:5" ht="15" customHeight="1" x14ac:dyDescent="0.25">
      <c r="A3" s="85" t="s">
        <v>0</v>
      </c>
      <c r="B3" s="86" t="s">
        <v>1</v>
      </c>
      <c r="C3" s="297" t="s">
        <v>298</v>
      </c>
      <c r="D3" s="298"/>
      <c r="E3" s="299"/>
    </row>
    <row r="4" spans="1:5" x14ac:dyDescent="0.25">
      <c r="A4" s="85" t="s">
        <v>2</v>
      </c>
      <c r="B4" s="86" t="s">
        <v>140</v>
      </c>
      <c r="C4" s="300" t="s">
        <v>210</v>
      </c>
      <c r="D4" s="301"/>
      <c r="E4" s="302"/>
    </row>
    <row r="5" spans="1:5" ht="25.5" x14ac:dyDescent="0.25">
      <c r="A5" s="85" t="s">
        <v>3</v>
      </c>
      <c r="B5" s="86" t="s">
        <v>4</v>
      </c>
      <c r="C5" s="300" t="s">
        <v>262</v>
      </c>
      <c r="D5" s="301"/>
      <c r="E5" s="302"/>
    </row>
    <row r="6" spans="1:5" x14ac:dyDescent="0.25">
      <c r="A6" s="85" t="s">
        <v>5</v>
      </c>
      <c r="B6" s="86" t="s">
        <v>211</v>
      </c>
      <c r="C6" s="300">
        <v>12</v>
      </c>
      <c r="D6" s="301"/>
      <c r="E6" s="302"/>
    </row>
    <row r="7" spans="1:5" x14ac:dyDescent="0.25">
      <c r="A7" s="303" t="s">
        <v>6</v>
      </c>
      <c r="B7" s="304"/>
      <c r="C7" s="304"/>
      <c r="D7" s="304"/>
      <c r="E7" s="305"/>
    </row>
    <row r="8" spans="1:5" x14ac:dyDescent="0.25">
      <c r="A8" s="306" t="s">
        <v>7</v>
      </c>
      <c r="B8" s="307"/>
      <c r="C8" s="307"/>
      <c r="D8" s="307"/>
      <c r="E8" s="308"/>
    </row>
    <row r="9" spans="1:5" x14ac:dyDescent="0.25">
      <c r="A9" s="294" t="s">
        <v>8</v>
      </c>
      <c r="B9" s="295"/>
      <c r="C9" s="295"/>
      <c r="D9" s="295"/>
      <c r="E9" s="296"/>
    </row>
    <row r="10" spans="1:5" x14ac:dyDescent="0.25">
      <c r="A10" s="250" t="s">
        <v>9</v>
      </c>
      <c r="B10" s="251"/>
      <c r="C10" s="251"/>
      <c r="D10" s="252"/>
      <c r="E10" s="87" t="s">
        <v>10</v>
      </c>
    </row>
    <row r="11" spans="1:5" ht="25.5" x14ac:dyDescent="0.25">
      <c r="A11" s="85"/>
      <c r="B11" s="148" t="s">
        <v>135</v>
      </c>
      <c r="C11" s="288" t="s">
        <v>138</v>
      </c>
      <c r="D11" s="289"/>
      <c r="E11" s="290"/>
    </row>
    <row r="12" spans="1:5" x14ac:dyDescent="0.25">
      <c r="A12" s="85">
        <v>2</v>
      </c>
      <c r="B12" s="88" t="s">
        <v>11</v>
      </c>
      <c r="C12" s="89"/>
      <c r="D12" s="90"/>
      <c r="E12" s="91">
        <v>2239.86</v>
      </c>
    </row>
    <row r="13" spans="1:5" ht="15" customHeight="1" x14ac:dyDescent="0.25">
      <c r="A13" s="85">
        <v>3</v>
      </c>
      <c r="B13" s="148" t="s">
        <v>12</v>
      </c>
      <c r="C13" s="314" t="s">
        <v>141</v>
      </c>
      <c r="D13" s="315"/>
      <c r="E13" s="316"/>
    </row>
    <row r="14" spans="1:5" x14ac:dyDescent="0.25">
      <c r="A14" s="85">
        <v>4</v>
      </c>
      <c r="B14" s="92" t="s">
        <v>13</v>
      </c>
      <c r="C14" s="281">
        <v>44319</v>
      </c>
      <c r="D14" s="282"/>
      <c r="E14" s="283"/>
    </row>
    <row r="15" spans="1:5" x14ac:dyDescent="0.25">
      <c r="A15" s="257" t="s">
        <v>14</v>
      </c>
      <c r="B15" s="258"/>
      <c r="C15" s="258"/>
      <c r="D15" s="259"/>
      <c r="E15" s="93"/>
    </row>
    <row r="16" spans="1:5" x14ac:dyDescent="0.25">
      <c r="A16" s="94">
        <v>1</v>
      </c>
      <c r="B16" s="241" t="s">
        <v>15</v>
      </c>
      <c r="C16" s="260"/>
      <c r="D16" s="261"/>
      <c r="E16" s="95" t="s">
        <v>10</v>
      </c>
    </row>
    <row r="17" spans="1:5" x14ac:dyDescent="0.25">
      <c r="A17" s="96" t="s">
        <v>0</v>
      </c>
      <c r="B17" s="97" t="s">
        <v>16</v>
      </c>
      <c r="C17" s="284"/>
      <c r="D17" s="285"/>
      <c r="E17" s="98">
        <f>+E12</f>
        <v>2239.86</v>
      </c>
    </row>
    <row r="18" spans="1:5" x14ac:dyDescent="0.25">
      <c r="A18" s="96" t="s">
        <v>2</v>
      </c>
      <c r="B18" s="97" t="s">
        <v>17</v>
      </c>
      <c r="C18" s="286" t="s">
        <v>18</v>
      </c>
      <c r="D18" s="287"/>
      <c r="E18" s="99">
        <v>0</v>
      </c>
    </row>
    <row r="19" spans="1:5" x14ac:dyDescent="0.25">
      <c r="A19" s="96" t="s">
        <v>3</v>
      </c>
      <c r="B19" s="97" t="s">
        <v>212</v>
      </c>
      <c r="C19" s="286" t="s">
        <v>213</v>
      </c>
      <c r="D19" s="287"/>
      <c r="E19" s="99">
        <f>1100*40%</f>
        <v>440</v>
      </c>
    </row>
    <row r="20" spans="1:5" x14ac:dyDescent="0.25">
      <c r="A20" s="96" t="s">
        <v>5</v>
      </c>
      <c r="B20" s="97" t="s">
        <v>19</v>
      </c>
      <c r="C20" s="286" t="s">
        <v>20</v>
      </c>
      <c r="D20" s="287"/>
      <c r="E20" s="99">
        <f>(((E17/180)*0.2))*0</f>
        <v>0</v>
      </c>
    </row>
    <row r="21" spans="1:5" ht="24" customHeight="1" x14ac:dyDescent="0.25">
      <c r="A21" s="96" t="s">
        <v>21</v>
      </c>
      <c r="B21" s="97" t="s">
        <v>22</v>
      </c>
      <c r="C21" s="286" t="s">
        <v>23</v>
      </c>
      <c r="D21" s="287"/>
      <c r="E21" s="99">
        <v>0</v>
      </c>
    </row>
    <row r="22" spans="1:5" x14ac:dyDescent="0.25">
      <c r="A22" s="96" t="s">
        <v>24</v>
      </c>
      <c r="B22" s="100" t="s">
        <v>136</v>
      </c>
      <c r="C22" s="286"/>
      <c r="D22" s="287"/>
      <c r="E22" s="99">
        <v>0</v>
      </c>
    </row>
    <row r="23" spans="1:5" x14ac:dyDescent="0.25">
      <c r="A23" s="96" t="s">
        <v>25</v>
      </c>
      <c r="B23" s="101" t="s">
        <v>137</v>
      </c>
      <c r="C23" s="286"/>
      <c r="D23" s="287"/>
      <c r="E23" s="99">
        <v>0</v>
      </c>
    </row>
    <row r="24" spans="1:5" x14ac:dyDescent="0.25">
      <c r="A24" s="253" t="s">
        <v>26</v>
      </c>
      <c r="B24" s="254"/>
      <c r="C24" s="254"/>
      <c r="D24" s="255"/>
      <c r="E24" s="139">
        <f>SUM(E17:E23)</f>
        <v>2679.86</v>
      </c>
    </row>
    <row r="25" spans="1:5" x14ac:dyDescent="0.25">
      <c r="A25" s="257" t="s">
        <v>55</v>
      </c>
      <c r="B25" s="258"/>
      <c r="C25" s="258"/>
      <c r="D25" s="259"/>
      <c r="E25" s="93"/>
    </row>
    <row r="26" spans="1:5" x14ac:dyDescent="0.25">
      <c r="A26" s="94" t="s">
        <v>159</v>
      </c>
      <c r="B26" s="241" t="s">
        <v>214</v>
      </c>
      <c r="C26" s="260"/>
      <c r="D26" s="261"/>
      <c r="E26" s="95" t="s">
        <v>10</v>
      </c>
    </row>
    <row r="27" spans="1:5" x14ac:dyDescent="0.25">
      <c r="A27" s="102" t="s">
        <v>0</v>
      </c>
      <c r="B27" s="103" t="s">
        <v>33</v>
      </c>
      <c r="C27" s="92"/>
      <c r="D27" s="104">
        <f>1/12</f>
        <v>8.3299999999999999E-2</v>
      </c>
      <c r="E27" s="93">
        <f>ROUND(+$E$24*D27,2)</f>
        <v>223.23</v>
      </c>
    </row>
    <row r="28" spans="1:5" x14ac:dyDescent="0.25">
      <c r="A28" s="102" t="s">
        <v>2</v>
      </c>
      <c r="B28" s="103" t="s">
        <v>270</v>
      </c>
      <c r="C28" s="92"/>
      <c r="D28" s="104">
        <v>0.1111</v>
      </c>
      <c r="E28" s="93">
        <f>ROUND(+$E$24*D28,2)</f>
        <v>297.73</v>
      </c>
    </row>
    <row r="29" spans="1:5" x14ac:dyDescent="0.25">
      <c r="A29" s="253" t="s">
        <v>31</v>
      </c>
      <c r="B29" s="254"/>
      <c r="C29" s="277"/>
      <c r="D29" s="140">
        <f>SUM(D27:D28)</f>
        <v>0.19439999999999999</v>
      </c>
      <c r="E29" s="139">
        <f>SUM(E27:E28)</f>
        <v>520.96</v>
      </c>
    </row>
    <row r="30" spans="1:5" ht="30" customHeight="1" x14ac:dyDescent="0.25">
      <c r="A30" s="278" t="s">
        <v>215</v>
      </c>
      <c r="B30" s="279"/>
      <c r="C30" s="279"/>
      <c r="D30" s="279"/>
      <c r="E30" s="280"/>
    </row>
    <row r="31" spans="1:5" x14ac:dyDescent="0.25">
      <c r="A31" s="94" t="s">
        <v>160</v>
      </c>
      <c r="B31" s="241" t="s">
        <v>29</v>
      </c>
      <c r="C31" s="260"/>
      <c r="D31" s="261"/>
      <c r="E31" s="95" t="s">
        <v>10</v>
      </c>
    </row>
    <row r="32" spans="1:5" x14ac:dyDescent="0.25">
      <c r="A32" s="102" t="s">
        <v>0</v>
      </c>
      <c r="B32" s="105" t="s">
        <v>216</v>
      </c>
      <c r="C32" s="92"/>
      <c r="D32" s="104">
        <v>0.2</v>
      </c>
      <c r="E32" s="93">
        <f>(E24+E29)*D32</f>
        <v>640.16</v>
      </c>
    </row>
    <row r="33" spans="1:5" x14ac:dyDescent="0.25">
      <c r="A33" s="102" t="s">
        <v>2</v>
      </c>
      <c r="B33" s="106" t="s">
        <v>217</v>
      </c>
      <c r="C33" s="92"/>
      <c r="D33" s="104">
        <v>1.4999999999999999E-2</v>
      </c>
      <c r="E33" s="93">
        <f>(E24+E29)*D33</f>
        <v>48.01</v>
      </c>
    </row>
    <row r="34" spans="1:5" x14ac:dyDescent="0.25">
      <c r="A34" s="102" t="s">
        <v>3</v>
      </c>
      <c r="B34" s="92" t="s">
        <v>218</v>
      </c>
      <c r="C34" s="92"/>
      <c r="D34" s="104">
        <v>0.01</v>
      </c>
      <c r="E34" s="93">
        <f>(E24+E29)*D34</f>
        <v>32.01</v>
      </c>
    </row>
    <row r="35" spans="1:5" x14ac:dyDescent="0.25">
      <c r="A35" s="102" t="s">
        <v>5</v>
      </c>
      <c r="B35" s="107" t="s">
        <v>219</v>
      </c>
      <c r="C35" s="92"/>
      <c r="D35" s="104">
        <v>2E-3</v>
      </c>
      <c r="E35" s="93">
        <f>(E24+E29)*D35</f>
        <v>6.4</v>
      </c>
    </row>
    <row r="36" spans="1:5" x14ac:dyDescent="0.25">
      <c r="A36" s="102" t="s">
        <v>21</v>
      </c>
      <c r="B36" s="92" t="s">
        <v>220</v>
      </c>
      <c r="C36" s="92"/>
      <c r="D36" s="104">
        <v>2.5000000000000001E-2</v>
      </c>
      <c r="E36" s="93">
        <f>(E24+E29)*D36</f>
        <v>80.02</v>
      </c>
    </row>
    <row r="37" spans="1:5" x14ac:dyDescent="0.25">
      <c r="A37" s="102" t="s">
        <v>24</v>
      </c>
      <c r="B37" s="106" t="s">
        <v>221</v>
      </c>
      <c r="C37" s="92"/>
      <c r="D37" s="104">
        <v>0.08</v>
      </c>
      <c r="E37" s="93">
        <f>(E24+E29)*D37</f>
        <v>256.07</v>
      </c>
    </row>
    <row r="38" spans="1:5" x14ac:dyDescent="0.25">
      <c r="A38" s="102" t="s">
        <v>25</v>
      </c>
      <c r="B38" s="107" t="s">
        <v>222</v>
      </c>
      <c r="C38" s="92"/>
      <c r="D38" s="104">
        <v>0.03</v>
      </c>
      <c r="E38" s="93">
        <f>(E24+E29)*D38</f>
        <v>96.02</v>
      </c>
    </row>
    <row r="39" spans="1:5" x14ac:dyDescent="0.25">
      <c r="A39" s="102" t="s">
        <v>30</v>
      </c>
      <c r="B39" s="108" t="s">
        <v>223</v>
      </c>
      <c r="C39" s="92"/>
      <c r="D39" s="104">
        <v>6.0000000000000001E-3</v>
      </c>
      <c r="E39" s="93">
        <f>(E24+E29)*D39</f>
        <v>19.2</v>
      </c>
    </row>
    <row r="40" spans="1:5" x14ac:dyDescent="0.25">
      <c r="A40" s="253" t="s">
        <v>31</v>
      </c>
      <c r="B40" s="254"/>
      <c r="C40" s="277"/>
      <c r="D40" s="140">
        <f>SUM(D32:D39)</f>
        <v>0.36799999999999999</v>
      </c>
      <c r="E40" s="139">
        <f>SUM(E32:E39)</f>
        <v>1177.8900000000001</v>
      </c>
    </row>
    <row r="41" spans="1:5" x14ac:dyDescent="0.25">
      <c r="A41" s="94" t="s">
        <v>161</v>
      </c>
      <c r="B41" s="241" t="s">
        <v>224</v>
      </c>
      <c r="C41" s="260"/>
      <c r="D41" s="261"/>
      <c r="E41" s="95" t="s">
        <v>10</v>
      </c>
    </row>
    <row r="42" spans="1:5" x14ac:dyDescent="0.25">
      <c r="A42" s="102" t="s">
        <v>0</v>
      </c>
      <c r="B42" s="101" t="s">
        <v>207</v>
      </c>
      <c r="C42" s="92"/>
      <c r="D42" s="100"/>
      <c r="E42" s="109">
        <f>(44*4.05)-(E12*0.06)</f>
        <v>43.81</v>
      </c>
    </row>
    <row r="43" spans="1:5" x14ac:dyDescent="0.25">
      <c r="A43" s="102" t="s">
        <v>2</v>
      </c>
      <c r="B43" s="101" t="s">
        <v>263</v>
      </c>
      <c r="C43" s="92"/>
      <c r="D43" s="110"/>
      <c r="E43" s="98">
        <f>(440)-(440*0.99%)</f>
        <v>435.64</v>
      </c>
    </row>
    <row r="44" spans="1:5" x14ac:dyDescent="0.25">
      <c r="A44" s="102" t="s">
        <v>3</v>
      </c>
      <c r="B44" s="101" t="s">
        <v>225</v>
      </c>
      <c r="C44" s="92"/>
      <c r="D44" s="110"/>
      <c r="E44" s="109">
        <v>0</v>
      </c>
    </row>
    <row r="45" spans="1:5" x14ac:dyDescent="0.25">
      <c r="A45" s="102" t="s">
        <v>5</v>
      </c>
      <c r="B45" s="101" t="s">
        <v>226</v>
      </c>
      <c r="C45" s="92"/>
      <c r="D45" s="110"/>
      <c r="E45" s="99">
        <f>(((E12*50%)*0.0199)*2)/12</f>
        <v>3.71</v>
      </c>
    </row>
    <row r="46" spans="1:5" x14ac:dyDescent="0.25">
      <c r="A46" s="102" t="s">
        <v>21</v>
      </c>
      <c r="B46" s="101" t="s">
        <v>227</v>
      </c>
      <c r="C46" s="92"/>
      <c r="D46" s="110"/>
      <c r="E46" s="93">
        <f>(25000*0.5%)/12</f>
        <v>10.42</v>
      </c>
    </row>
    <row r="47" spans="1:5" x14ac:dyDescent="0.25">
      <c r="A47" s="253" t="s">
        <v>27</v>
      </c>
      <c r="B47" s="254"/>
      <c r="C47" s="254"/>
      <c r="D47" s="255"/>
      <c r="E47" s="139">
        <f>SUM(E42:E46)</f>
        <v>493.58</v>
      </c>
    </row>
    <row r="48" spans="1:5" x14ac:dyDescent="0.25">
      <c r="A48" s="257" t="s">
        <v>228</v>
      </c>
      <c r="B48" s="258"/>
      <c r="C48" s="258"/>
      <c r="D48" s="259"/>
      <c r="E48" s="93"/>
    </row>
    <row r="49" spans="1:5" x14ac:dyDescent="0.25">
      <c r="A49" s="94" t="s">
        <v>159</v>
      </c>
      <c r="B49" s="241" t="s">
        <v>229</v>
      </c>
      <c r="C49" s="260"/>
      <c r="D49" s="261"/>
      <c r="E49" s="95">
        <f>E29</f>
        <v>520.96</v>
      </c>
    </row>
    <row r="50" spans="1:5" x14ac:dyDescent="0.25">
      <c r="A50" s="94" t="s">
        <v>160</v>
      </c>
      <c r="B50" s="103" t="s">
        <v>230</v>
      </c>
      <c r="C50" s="92"/>
      <c r="D50" s="111" t="s">
        <v>133</v>
      </c>
      <c r="E50" s="93">
        <f>E40</f>
        <v>1177.8900000000001</v>
      </c>
    </row>
    <row r="51" spans="1:5" x14ac:dyDescent="0.25">
      <c r="A51" s="94" t="s">
        <v>161</v>
      </c>
      <c r="B51" s="103" t="s">
        <v>231</v>
      </c>
      <c r="C51" s="92"/>
      <c r="D51" s="111" t="s">
        <v>133</v>
      </c>
      <c r="E51" s="93">
        <f>E47</f>
        <v>493.58</v>
      </c>
    </row>
    <row r="52" spans="1:5" x14ac:dyDescent="0.25">
      <c r="A52" s="253" t="s">
        <v>31</v>
      </c>
      <c r="B52" s="254"/>
      <c r="C52" s="277"/>
      <c r="D52" s="141" t="s">
        <v>133</v>
      </c>
      <c r="E52" s="139">
        <f>SUM(E49:E51)</f>
        <v>2192.4299999999998</v>
      </c>
    </row>
    <row r="53" spans="1:5" x14ac:dyDescent="0.25">
      <c r="A53" s="257" t="s">
        <v>232</v>
      </c>
      <c r="B53" s="258"/>
      <c r="C53" s="258"/>
      <c r="D53" s="259"/>
      <c r="E53" s="93"/>
    </row>
    <row r="54" spans="1:5" x14ac:dyDescent="0.25">
      <c r="A54" s="94" t="s">
        <v>233</v>
      </c>
      <c r="B54" s="241" t="s">
        <v>34</v>
      </c>
      <c r="C54" s="260"/>
      <c r="D54" s="261"/>
      <c r="E54" s="95" t="s">
        <v>10</v>
      </c>
    </row>
    <row r="55" spans="1:5" x14ac:dyDescent="0.25">
      <c r="A55" s="102" t="s">
        <v>0</v>
      </c>
      <c r="B55" s="103" t="s">
        <v>234</v>
      </c>
      <c r="C55" s="106"/>
      <c r="D55" s="104">
        <v>4.1999999999999997E-3</v>
      </c>
      <c r="E55" s="93">
        <f t="shared" ref="E55:E60" si="0">ROUND(+D55*$E$24,2)</f>
        <v>11.26</v>
      </c>
    </row>
    <row r="56" spans="1:5" x14ac:dyDescent="0.25">
      <c r="A56" s="102" t="s">
        <v>2</v>
      </c>
      <c r="B56" s="101" t="s">
        <v>235</v>
      </c>
      <c r="C56" s="106"/>
      <c r="D56" s="104">
        <f>D37*D55</f>
        <v>2.9999999999999997E-4</v>
      </c>
      <c r="E56" s="93">
        <f t="shared" si="0"/>
        <v>0.8</v>
      </c>
    </row>
    <row r="57" spans="1:5" ht="25.5" x14ac:dyDescent="0.25">
      <c r="A57" s="102" t="s">
        <v>3</v>
      </c>
      <c r="B57" s="101" t="s">
        <v>236</v>
      </c>
      <c r="C57" s="106"/>
      <c r="D57" s="104">
        <f>(0.08*0.4*0.9)*(1+0.0833+0.09075+0.03025)</f>
        <v>3.4700000000000002E-2</v>
      </c>
      <c r="E57" s="93">
        <f t="shared" si="0"/>
        <v>92.99</v>
      </c>
    </row>
    <row r="58" spans="1:5" x14ac:dyDescent="0.25">
      <c r="A58" s="102" t="s">
        <v>5</v>
      </c>
      <c r="B58" s="112" t="s">
        <v>35</v>
      </c>
      <c r="C58" s="106"/>
      <c r="D58" s="104">
        <v>1.9400000000000001E-2</v>
      </c>
      <c r="E58" s="93">
        <f t="shared" si="0"/>
        <v>51.99</v>
      </c>
    </row>
    <row r="59" spans="1:5" ht="25.5" customHeight="1" x14ac:dyDescent="0.25">
      <c r="A59" s="102" t="s">
        <v>21</v>
      </c>
      <c r="B59" s="101" t="s">
        <v>237</v>
      </c>
      <c r="C59" s="106"/>
      <c r="D59" s="104">
        <f>D40*D58</f>
        <v>7.1000000000000004E-3</v>
      </c>
      <c r="E59" s="93">
        <f t="shared" si="0"/>
        <v>19.03</v>
      </c>
    </row>
    <row r="60" spans="1:5" ht="28.5" customHeight="1" x14ac:dyDescent="0.25">
      <c r="A60" s="102" t="s">
        <v>24</v>
      </c>
      <c r="B60" s="101" t="s">
        <v>238</v>
      </c>
      <c r="C60" s="106"/>
      <c r="D60" s="104">
        <f>(0.08*0.4)*(0.08*D37)</f>
        <v>2.0000000000000001E-4</v>
      </c>
      <c r="E60" s="93">
        <f t="shared" si="0"/>
        <v>0.54</v>
      </c>
    </row>
    <row r="61" spans="1:5" x14ac:dyDescent="0.25">
      <c r="A61" s="253" t="s">
        <v>31</v>
      </c>
      <c r="B61" s="254"/>
      <c r="C61" s="254"/>
      <c r="D61" s="142">
        <f>SUM(D55:D60)</f>
        <v>6.59E-2</v>
      </c>
      <c r="E61" s="139">
        <f>SUM(E55:E60)</f>
        <v>176.61</v>
      </c>
    </row>
    <row r="62" spans="1:5" x14ac:dyDescent="0.25">
      <c r="A62" s="257" t="s">
        <v>239</v>
      </c>
      <c r="B62" s="258"/>
      <c r="C62" s="258"/>
      <c r="D62" s="259"/>
      <c r="E62" s="93"/>
    </row>
    <row r="63" spans="1:5" x14ac:dyDescent="0.25">
      <c r="A63" s="94" t="s">
        <v>28</v>
      </c>
      <c r="B63" s="276" t="s">
        <v>240</v>
      </c>
      <c r="C63" s="258"/>
      <c r="D63" s="259"/>
      <c r="E63" s="95" t="s">
        <v>10</v>
      </c>
    </row>
    <row r="64" spans="1:5" x14ac:dyDescent="0.25">
      <c r="A64" s="102" t="s">
        <v>0</v>
      </c>
      <c r="B64" s="103" t="s">
        <v>269</v>
      </c>
      <c r="C64" s="92"/>
      <c r="D64" s="104">
        <f>D28/12</f>
        <v>9.2999999999999992E-3</v>
      </c>
      <c r="E64" s="93">
        <f t="shared" ref="E64:E69" si="1">ROUND(+D64*$E$24,2)</f>
        <v>24.92</v>
      </c>
    </row>
    <row r="65" spans="1:5" ht="25.5" x14ac:dyDescent="0.25">
      <c r="A65" s="102" t="s">
        <v>2</v>
      </c>
      <c r="B65" s="149" t="s">
        <v>241</v>
      </c>
      <c r="C65" s="92"/>
      <c r="D65" s="104">
        <v>1.66E-2</v>
      </c>
      <c r="E65" s="93">
        <f t="shared" si="1"/>
        <v>44.49</v>
      </c>
    </row>
    <row r="66" spans="1:5" x14ac:dyDescent="0.25">
      <c r="A66" s="102" t="s">
        <v>3</v>
      </c>
      <c r="B66" s="103" t="s">
        <v>242</v>
      </c>
      <c r="C66" s="92"/>
      <c r="D66" s="104">
        <v>2.0000000000000001E-4</v>
      </c>
      <c r="E66" s="93">
        <f t="shared" si="1"/>
        <v>0.54</v>
      </c>
    </row>
    <row r="67" spans="1:5" x14ac:dyDescent="0.25">
      <c r="A67" s="102" t="s">
        <v>5</v>
      </c>
      <c r="B67" s="103" t="s">
        <v>243</v>
      </c>
      <c r="C67" s="92"/>
      <c r="D67" s="104">
        <v>2.8E-3</v>
      </c>
      <c r="E67" s="93">
        <f t="shared" si="1"/>
        <v>7.5</v>
      </c>
    </row>
    <row r="68" spans="1:5" x14ac:dyDescent="0.25">
      <c r="A68" s="102" t="s">
        <v>21</v>
      </c>
      <c r="B68" s="103" t="s">
        <v>244</v>
      </c>
      <c r="C68" s="92"/>
      <c r="D68" s="104">
        <v>2.9999999999999997E-4</v>
      </c>
      <c r="E68" s="93">
        <f t="shared" si="1"/>
        <v>0.8</v>
      </c>
    </row>
    <row r="69" spans="1:5" x14ac:dyDescent="0.25">
      <c r="A69" s="102" t="s">
        <v>24</v>
      </c>
      <c r="B69" s="101" t="s">
        <v>268</v>
      </c>
      <c r="C69" s="106"/>
      <c r="D69" s="104">
        <f>SUM(D64:D68)*D40</f>
        <v>1.0699999999999999E-2</v>
      </c>
      <c r="E69" s="93">
        <f t="shared" si="1"/>
        <v>28.67</v>
      </c>
    </row>
    <row r="70" spans="1:5" x14ac:dyDescent="0.25">
      <c r="A70" s="253" t="s">
        <v>245</v>
      </c>
      <c r="B70" s="254"/>
      <c r="C70" s="255"/>
      <c r="D70" s="142">
        <f>SUM(D64:D69)</f>
        <v>3.9899999999999998E-2</v>
      </c>
      <c r="E70" s="139">
        <f>SUM(E64:E69)</f>
        <v>106.92</v>
      </c>
    </row>
    <row r="71" spans="1:5" x14ac:dyDescent="0.25">
      <c r="A71" s="257"/>
      <c r="B71" s="258"/>
      <c r="C71" s="258"/>
      <c r="D71" s="259"/>
      <c r="E71" s="93"/>
    </row>
    <row r="72" spans="1:5" x14ac:dyDescent="0.25">
      <c r="A72" s="94" t="s">
        <v>133</v>
      </c>
      <c r="B72" s="241" t="s">
        <v>246</v>
      </c>
      <c r="C72" s="260"/>
      <c r="D72" s="261"/>
      <c r="E72" s="95" t="s">
        <v>10</v>
      </c>
    </row>
    <row r="73" spans="1:5" x14ac:dyDescent="0.25">
      <c r="A73" s="102" t="s">
        <v>0</v>
      </c>
      <c r="B73" s="103" t="s">
        <v>247</v>
      </c>
      <c r="C73" s="92"/>
      <c r="D73" s="104">
        <v>0</v>
      </c>
      <c r="E73" s="93">
        <f>ROUND(+$E$25*D73,2)</f>
        <v>0</v>
      </c>
    </row>
    <row r="74" spans="1:5" x14ac:dyDescent="0.25">
      <c r="A74" s="253" t="s">
        <v>31</v>
      </c>
      <c r="B74" s="254"/>
      <c r="C74" s="254"/>
      <c r="D74" s="140">
        <f>D73</f>
        <v>0</v>
      </c>
      <c r="E74" s="139">
        <f>E73</f>
        <v>0</v>
      </c>
    </row>
    <row r="75" spans="1:5" x14ac:dyDescent="0.25">
      <c r="A75" s="257" t="s">
        <v>248</v>
      </c>
      <c r="B75" s="258"/>
      <c r="C75" s="258"/>
      <c r="D75" s="259"/>
      <c r="E75" s="93"/>
    </row>
    <row r="76" spans="1:5" x14ac:dyDescent="0.25">
      <c r="A76" s="94">
        <v>4</v>
      </c>
      <c r="B76" s="241" t="s">
        <v>36</v>
      </c>
      <c r="C76" s="260"/>
      <c r="D76" s="261"/>
      <c r="E76" s="95" t="s">
        <v>10</v>
      </c>
    </row>
    <row r="77" spans="1:5" x14ac:dyDescent="0.25">
      <c r="A77" s="102" t="s">
        <v>28</v>
      </c>
      <c r="B77" s="103" t="s">
        <v>240</v>
      </c>
      <c r="C77" s="92"/>
      <c r="D77" s="104">
        <f>D70</f>
        <v>3.9899999999999998E-2</v>
      </c>
      <c r="E77" s="93">
        <f>E70</f>
        <v>106.92</v>
      </c>
    </row>
    <row r="78" spans="1:5" x14ac:dyDescent="0.25">
      <c r="A78" s="102" t="s">
        <v>32</v>
      </c>
      <c r="B78" s="103" t="s">
        <v>246</v>
      </c>
      <c r="C78" s="106"/>
      <c r="D78" s="104">
        <f>D74</f>
        <v>0</v>
      </c>
      <c r="E78" s="93">
        <f>E74</f>
        <v>0</v>
      </c>
    </row>
    <row r="79" spans="1:5" x14ac:dyDescent="0.25">
      <c r="A79" s="253" t="s">
        <v>249</v>
      </c>
      <c r="B79" s="254"/>
      <c r="C79" s="255"/>
      <c r="D79" s="142">
        <f>SUM(D74:D78)</f>
        <v>3.9899999999999998E-2</v>
      </c>
      <c r="E79" s="139">
        <f>SUM(E77+E78)</f>
        <v>106.92</v>
      </c>
    </row>
    <row r="80" spans="1:5" x14ac:dyDescent="0.25">
      <c r="A80" s="257" t="s">
        <v>250</v>
      </c>
      <c r="B80" s="258"/>
      <c r="C80" s="258"/>
      <c r="D80" s="259"/>
      <c r="E80" s="93"/>
    </row>
    <row r="81" spans="1:5" x14ac:dyDescent="0.25">
      <c r="A81" s="94">
        <v>5</v>
      </c>
      <c r="B81" s="241" t="s">
        <v>251</v>
      </c>
      <c r="C81" s="260"/>
      <c r="D81" s="261"/>
      <c r="E81" s="95" t="s">
        <v>10</v>
      </c>
    </row>
    <row r="82" spans="1:5" x14ac:dyDescent="0.25">
      <c r="A82" s="102" t="s">
        <v>0</v>
      </c>
      <c r="B82" s="103" t="s">
        <v>265</v>
      </c>
      <c r="C82" s="92"/>
      <c r="D82" s="104" t="s">
        <v>133</v>
      </c>
      <c r="E82" s="93" t="e">
        <f>+UNIFORMES!#REF!</f>
        <v>#REF!</v>
      </c>
    </row>
    <row r="83" spans="1:5" x14ac:dyDescent="0.25">
      <c r="A83" s="102" t="s">
        <v>2</v>
      </c>
      <c r="B83" s="103" t="s">
        <v>252</v>
      </c>
      <c r="C83" s="92"/>
      <c r="D83" s="104"/>
      <c r="E83" s="93">
        <v>0</v>
      </c>
    </row>
    <row r="84" spans="1:5" x14ac:dyDescent="0.25">
      <c r="A84" s="102" t="s">
        <v>3</v>
      </c>
      <c r="B84" s="103" t="s">
        <v>180</v>
      </c>
      <c r="C84" s="92"/>
      <c r="D84" s="104"/>
      <c r="E84" s="93">
        <v>0</v>
      </c>
    </row>
    <row r="85" spans="1:5" ht="26.25" customHeight="1" x14ac:dyDescent="0.25">
      <c r="A85" s="102" t="s">
        <v>5</v>
      </c>
      <c r="B85" s="103" t="s">
        <v>253</v>
      </c>
      <c r="C85" s="92"/>
      <c r="D85" s="104"/>
      <c r="E85" s="93" t="e">
        <f>'SEGURANÇA  CURSOS TREINA'!#REF!</f>
        <v>#REF!</v>
      </c>
    </row>
    <row r="86" spans="1:5" ht="25.5" x14ac:dyDescent="0.25">
      <c r="A86" s="102" t="s">
        <v>21</v>
      </c>
      <c r="B86" s="103" t="s">
        <v>254</v>
      </c>
      <c r="C86" s="106"/>
      <c r="D86" s="104" t="s">
        <v>133</v>
      </c>
      <c r="E86" s="93" t="e">
        <f>'SEGURANÇA  CURSOS TREINA'!#REF!</f>
        <v>#REF!</v>
      </c>
    </row>
    <row r="87" spans="1:5" x14ac:dyDescent="0.25">
      <c r="A87" s="253" t="s">
        <v>255</v>
      </c>
      <c r="B87" s="254"/>
      <c r="C87" s="255"/>
      <c r="D87" s="142" t="s">
        <v>133</v>
      </c>
      <c r="E87" s="139" t="e">
        <f>SUM(E82:E86)</f>
        <v>#REF!</v>
      </c>
    </row>
    <row r="88" spans="1:5" x14ac:dyDescent="0.25">
      <c r="A88" s="250" t="s">
        <v>37</v>
      </c>
      <c r="B88" s="252"/>
      <c r="C88" s="256" t="s">
        <v>31</v>
      </c>
      <c r="D88" s="252"/>
      <c r="E88" s="93" t="e">
        <f>E24+E52+E61+E79+E87</f>
        <v>#REF!</v>
      </c>
    </row>
    <row r="89" spans="1:5" ht="21.75" customHeight="1" x14ac:dyDescent="0.25">
      <c r="A89" s="271" t="s">
        <v>256</v>
      </c>
      <c r="B89" s="272"/>
      <c r="C89" s="272"/>
      <c r="D89" s="143"/>
      <c r="E89" s="139" t="e">
        <f>E88</f>
        <v>#REF!</v>
      </c>
    </row>
    <row r="90" spans="1:5" x14ac:dyDescent="0.25">
      <c r="A90" s="257" t="s">
        <v>257</v>
      </c>
      <c r="B90" s="258"/>
      <c r="C90" s="258" t="s">
        <v>38</v>
      </c>
      <c r="D90" s="259" t="s">
        <v>39</v>
      </c>
      <c r="E90" s="93"/>
    </row>
    <row r="91" spans="1:5" x14ac:dyDescent="0.25">
      <c r="A91" s="94">
        <v>6</v>
      </c>
      <c r="B91" s="241" t="s">
        <v>40</v>
      </c>
      <c r="C91" s="260"/>
      <c r="D91" s="261"/>
      <c r="E91" s="95" t="s">
        <v>10</v>
      </c>
    </row>
    <row r="92" spans="1:5" x14ac:dyDescent="0.25">
      <c r="A92" s="94" t="s">
        <v>0</v>
      </c>
      <c r="B92" s="103" t="s">
        <v>41</v>
      </c>
      <c r="C92" s="262">
        <v>0.03</v>
      </c>
      <c r="D92" s="263"/>
      <c r="E92" s="93" t="e">
        <f>+E89*C92</f>
        <v>#REF!</v>
      </c>
    </row>
    <row r="93" spans="1:5" x14ac:dyDescent="0.25">
      <c r="A93" s="94" t="s">
        <v>2</v>
      </c>
      <c r="B93" s="103" t="s">
        <v>42</v>
      </c>
      <c r="C93" s="262">
        <v>6.7900000000000002E-2</v>
      </c>
      <c r="D93" s="263"/>
      <c r="E93" s="93" t="e">
        <f>C93*(+E89+E92)</f>
        <v>#REF!</v>
      </c>
    </row>
    <row r="94" spans="1:5" ht="24.75" customHeight="1" x14ac:dyDescent="0.25">
      <c r="A94" s="264" t="s">
        <v>3</v>
      </c>
      <c r="B94" s="312" t="s">
        <v>54</v>
      </c>
      <c r="C94" s="313"/>
      <c r="D94" s="113">
        <f>+(100-14.25)/100</f>
        <v>0.85750000000000004</v>
      </c>
      <c r="E94" s="93" t="e">
        <f>+E89+E92+E93</f>
        <v>#REF!</v>
      </c>
    </row>
    <row r="95" spans="1:5" x14ac:dyDescent="0.25">
      <c r="A95" s="264"/>
      <c r="B95" s="114" t="s">
        <v>43</v>
      </c>
      <c r="C95" s="112"/>
      <c r="D95" s="112"/>
      <c r="E95" s="115" t="e">
        <f>+E94/D94</f>
        <v>#REF!</v>
      </c>
    </row>
    <row r="96" spans="1:5" x14ac:dyDescent="0.25">
      <c r="A96" s="264"/>
      <c r="B96" s="116" t="s">
        <v>44</v>
      </c>
      <c r="C96" s="117"/>
      <c r="D96" s="118"/>
      <c r="E96" s="93"/>
    </row>
    <row r="97" spans="1:5" x14ac:dyDescent="0.25">
      <c r="A97" s="264"/>
      <c r="B97" s="119" t="s">
        <v>266</v>
      </c>
      <c r="C97" s="120"/>
      <c r="D97" s="104">
        <v>1.6500000000000001E-2</v>
      </c>
      <c r="E97" s="93" t="e">
        <f>+E95*D97</f>
        <v>#REF!</v>
      </c>
    </row>
    <row r="98" spans="1:5" x14ac:dyDescent="0.25">
      <c r="A98" s="264"/>
      <c r="B98" s="119" t="s">
        <v>267</v>
      </c>
      <c r="C98" s="120"/>
      <c r="D98" s="104">
        <v>7.5999999999999998E-2</v>
      </c>
      <c r="E98" s="93" t="e">
        <f>+E95*D98</f>
        <v>#REF!</v>
      </c>
    </row>
    <row r="99" spans="1:5" x14ac:dyDescent="0.25">
      <c r="A99" s="264"/>
      <c r="B99" s="121" t="s">
        <v>45</v>
      </c>
      <c r="C99" s="122"/>
      <c r="D99" s="105"/>
      <c r="E99" s="93"/>
    </row>
    <row r="100" spans="1:5" x14ac:dyDescent="0.25">
      <c r="A100" s="264"/>
      <c r="B100" s="121" t="s">
        <v>46</v>
      </c>
      <c r="C100" s="122"/>
      <c r="D100" s="123"/>
      <c r="E100" s="93"/>
    </row>
    <row r="101" spans="1:5" ht="15.75" thickBot="1" x14ac:dyDescent="0.3">
      <c r="A101" s="265"/>
      <c r="B101" s="124" t="s">
        <v>181</v>
      </c>
      <c r="C101" s="125"/>
      <c r="D101" s="126">
        <v>0.05</v>
      </c>
      <c r="E101" s="127" t="e">
        <f>+E95*D101</f>
        <v>#REF!</v>
      </c>
    </row>
    <row r="102" spans="1:5" ht="15.75" thickBot="1" x14ac:dyDescent="0.3">
      <c r="A102" s="128"/>
      <c r="B102" s="129" t="s">
        <v>47</v>
      </c>
      <c r="C102" s="129"/>
      <c r="D102" s="130">
        <f>SUM(D97:D101)</f>
        <v>0.14249999999999999</v>
      </c>
      <c r="E102" s="131" t="e">
        <f>SUM(E97:E101)</f>
        <v>#REF!</v>
      </c>
    </row>
    <row r="103" spans="1:5" x14ac:dyDescent="0.25">
      <c r="A103" s="268" t="s">
        <v>48</v>
      </c>
      <c r="B103" s="269"/>
      <c r="C103" s="269"/>
      <c r="D103" s="270"/>
      <c r="E103" s="144" t="e">
        <f>+E92+E93+E102</f>
        <v>#REF!</v>
      </c>
    </row>
    <row r="104" spans="1:5" x14ac:dyDescent="0.25">
      <c r="A104" s="250" t="s">
        <v>49</v>
      </c>
      <c r="B104" s="251"/>
      <c r="C104" s="251"/>
      <c r="D104" s="252"/>
      <c r="E104" s="87" t="s">
        <v>10</v>
      </c>
    </row>
    <row r="105" spans="1:5" x14ac:dyDescent="0.25">
      <c r="A105" s="94" t="s">
        <v>0</v>
      </c>
      <c r="B105" s="241" t="s">
        <v>50</v>
      </c>
      <c r="C105" s="242"/>
      <c r="D105" s="243"/>
      <c r="E105" s="93">
        <f>+E24</f>
        <v>2679.86</v>
      </c>
    </row>
    <row r="106" spans="1:5" x14ac:dyDescent="0.25">
      <c r="A106" s="94" t="s">
        <v>2</v>
      </c>
      <c r="B106" s="241" t="s">
        <v>258</v>
      </c>
      <c r="C106" s="242"/>
      <c r="D106" s="243"/>
      <c r="E106" s="93">
        <f>E52</f>
        <v>2192.4299999999998</v>
      </c>
    </row>
    <row r="107" spans="1:5" x14ac:dyDescent="0.25">
      <c r="A107" s="94" t="s">
        <v>3</v>
      </c>
      <c r="B107" s="241" t="s">
        <v>259</v>
      </c>
      <c r="C107" s="242"/>
      <c r="D107" s="243"/>
      <c r="E107" s="93">
        <f>E61</f>
        <v>176.61</v>
      </c>
    </row>
    <row r="108" spans="1:5" x14ac:dyDescent="0.25">
      <c r="A108" s="94" t="s">
        <v>5</v>
      </c>
      <c r="B108" s="241" t="s">
        <v>260</v>
      </c>
      <c r="C108" s="242"/>
      <c r="D108" s="243"/>
      <c r="E108" s="93">
        <f>E79</f>
        <v>106.92</v>
      </c>
    </row>
    <row r="109" spans="1:5" x14ac:dyDescent="0.25">
      <c r="A109" s="94" t="s">
        <v>5</v>
      </c>
      <c r="B109" s="241" t="s">
        <v>261</v>
      </c>
      <c r="C109" s="242"/>
      <c r="D109" s="243"/>
      <c r="E109" s="93" t="e">
        <f>E87</f>
        <v>#REF!</v>
      </c>
    </row>
    <row r="110" spans="1:5" x14ac:dyDescent="0.25">
      <c r="A110" s="247" t="s">
        <v>51</v>
      </c>
      <c r="B110" s="248"/>
      <c r="C110" s="249"/>
      <c r="D110" s="111"/>
      <c r="E110" s="93" t="e">
        <f>SUM(E105:E109)</f>
        <v>#REF!</v>
      </c>
    </row>
    <row r="111" spans="1:5" x14ac:dyDescent="0.25">
      <c r="A111" s="94" t="s">
        <v>21</v>
      </c>
      <c r="B111" s="241" t="s">
        <v>52</v>
      </c>
      <c r="C111" s="242"/>
      <c r="D111" s="243"/>
      <c r="E111" s="93" t="e">
        <f>+E103</f>
        <v>#REF!</v>
      </c>
    </row>
    <row r="112" spans="1:5" ht="15.75" thickBot="1" x14ac:dyDescent="0.3">
      <c r="A112" s="244" t="s">
        <v>53</v>
      </c>
      <c r="B112" s="245"/>
      <c r="C112" s="245"/>
      <c r="D112" s="246"/>
      <c r="E112" s="145" t="e">
        <f>+E110+E111</f>
        <v>#REF!</v>
      </c>
    </row>
    <row r="113" spans="1:5" x14ac:dyDescent="0.25">
      <c r="A113" s="132"/>
      <c r="B113" s="133"/>
      <c r="C113" s="133"/>
      <c r="D113" s="133"/>
      <c r="E113" s="134"/>
    </row>
    <row r="114" spans="1:5" x14ac:dyDescent="0.25">
      <c r="A114" s="135"/>
      <c r="B114" s="136"/>
      <c r="C114" s="136"/>
      <c r="D114" s="137"/>
      <c r="E114" s="138"/>
    </row>
  </sheetData>
  <mergeCells count="68">
    <mergeCell ref="C13:E13"/>
    <mergeCell ref="A1:E1"/>
    <mergeCell ref="A2:E2"/>
    <mergeCell ref="C3:E3"/>
    <mergeCell ref="C4:E4"/>
    <mergeCell ref="C5:E5"/>
    <mergeCell ref="C6:E6"/>
    <mergeCell ref="A7:E7"/>
    <mergeCell ref="A8:E8"/>
    <mergeCell ref="A9:E9"/>
    <mergeCell ref="A10:D10"/>
    <mergeCell ref="C11:E11"/>
    <mergeCell ref="A25:D25"/>
    <mergeCell ref="C14:E14"/>
    <mergeCell ref="A15:D15"/>
    <mergeCell ref="B16:D16"/>
    <mergeCell ref="C17:D17"/>
    <mergeCell ref="C18:D18"/>
    <mergeCell ref="C19:D19"/>
    <mergeCell ref="C20:D20"/>
    <mergeCell ref="C21:D21"/>
    <mergeCell ref="C22:D22"/>
    <mergeCell ref="C23:D23"/>
    <mergeCell ref="A24:D24"/>
    <mergeCell ref="B54:D54"/>
    <mergeCell ref="B26:D26"/>
    <mergeCell ref="A29:C29"/>
    <mergeCell ref="A30:E30"/>
    <mergeCell ref="B31:D31"/>
    <mergeCell ref="A40:C40"/>
    <mergeCell ref="B41:D41"/>
    <mergeCell ref="A47:D47"/>
    <mergeCell ref="A48:D48"/>
    <mergeCell ref="B49:D49"/>
    <mergeCell ref="A52:C52"/>
    <mergeCell ref="A53:D53"/>
    <mergeCell ref="B81:D81"/>
    <mergeCell ref="A61:C61"/>
    <mergeCell ref="A62:D62"/>
    <mergeCell ref="B63:D63"/>
    <mergeCell ref="A70:C70"/>
    <mergeCell ref="A71:D71"/>
    <mergeCell ref="B72:D72"/>
    <mergeCell ref="A74:C74"/>
    <mergeCell ref="A75:D75"/>
    <mergeCell ref="B76:D76"/>
    <mergeCell ref="A79:C79"/>
    <mergeCell ref="A80:D80"/>
    <mergeCell ref="A104:D104"/>
    <mergeCell ref="A87:C87"/>
    <mergeCell ref="A88:B88"/>
    <mergeCell ref="C88:D88"/>
    <mergeCell ref="A89:C89"/>
    <mergeCell ref="A90:D90"/>
    <mergeCell ref="B91:D91"/>
    <mergeCell ref="C92:D92"/>
    <mergeCell ref="C93:D93"/>
    <mergeCell ref="A94:A101"/>
    <mergeCell ref="B94:C94"/>
    <mergeCell ref="A103:D103"/>
    <mergeCell ref="B111:D111"/>
    <mergeCell ref="A112:D112"/>
    <mergeCell ref="B105:D105"/>
    <mergeCell ref="B106:D106"/>
    <mergeCell ref="B107:D107"/>
    <mergeCell ref="B108:D108"/>
    <mergeCell ref="B109:D109"/>
    <mergeCell ref="A110:C110"/>
  </mergeCells>
  <hyperlinks>
    <hyperlink ref="B39" r:id="rId1" display="08 - Sebrae 0,3% ou 0,6% - IN nº 03, MPS/SRP/2005, Anexo II e III ver código da Tabela" xr:uid="{00000000-0004-0000-0500-000000000000}"/>
  </hyperlinks>
  <pageMargins left="0.511811024" right="0.511811024" top="0.78740157499999996" bottom="0.78740157499999996" header="0.31496062000000002" footer="0.31496062000000002"/>
  <pageSetup paperSize="9" scale="99" orientation="portrait" r:id="rId2"/>
  <rowBreaks count="2" manualBreakCount="2">
    <brk id="47" max="16383" man="1"/>
    <brk id="89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4"/>
  <sheetViews>
    <sheetView showGridLines="0" view="pageBreakPreview" zoomScaleNormal="100" zoomScaleSheetLayoutView="100" zoomScalePageLayoutView="80" workbookViewId="0">
      <selection activeCell="A13" sqref="A13:E13"/>
    </sheetView>
  </sheetViews>
  <sheetFormatPr defaultColWidth="9.140625" defaultRowHeight="15.75" x14ac:dyDescent="0.25"/>
  <cols>
    <col min="1" max="1" width="8.28515625" style="35" customWidth="1"/>
    <col min="2" max="2" width="40.5703125" style="36" customWidth="1"/>
    <col min="3" max="3" width="15.7109375" style="36" customWidth="1"/>
    <col min="4" max="4" width="14.85546875" style="35" customWidth="1"/>
    <col min="5" max="5" width="18.85546875" style="37" customWidth="1"/>
    <col min="6" max="6" width="19.42578125" style="37" customWidth="1"/>
    <col min="7" max="7" width="16.85546875" style="38" bestFit="1" customWidth="1"/>
    <col min="8" max="16384" width="9.140625" style="34"/>
  </cols>
  <sheetData>
    <row r="1" spans="1:7" ht="21.75" thickBot="1" x14ac:dyDescent="0.3">
      <c r="A1" s="321" t="s">
        <v>168</v>
      </c>
      <c r="B1" s="322"/>
      <c r="C1" s="322"/>
      <c r="D1" s="322"/>
      <c r="E1" s="322"/>
      <c r="F1" s="323"/>
      <c r="G1" s="34"/>
    </row>
    <row r="2" spans="1:7" ht="15" customHeight="1" x14ac:dyDescent="0.25"/>
    <row r="3" spans="1:7" ht="44.45" customHeight="1" x14ac:dyDescent="0.25">
      <c r="A3" s="317" t="s">
        <v>169</v>
      </c>
      <c r="B3" s="317"/>
      <c r="C3" s="194" t="s">
        <v>170</v>
      </c>
      <c r="D3" s="203" t="s">
        <v>171</v>
      </c>
      <c r="E3" s="201" t="s">
        <v>206</v>
      </c>
      <c r="F3" s="196" t="s">
        <v>173</v>
      </c>
      <c r="G3" s="34"/>
    </row>
    <row r="4" spans="1:7" ht="15.75" customHeight="1" x14ac:dyDescent="0.25">
      <c r="A4" s="318" t="s">
        <v>202</v>
      </c>
      <c r="B4" s="318"/>
      <c r="C4" s="195">
        <v>4</v>
      </c>
      <c r="D4" s="202">
        <v>0</v>
      </c>
      <c r="E4" s="198">
        <f t="shared" ref="E4:E10" si="0">D4*C4</f>
        <v>0</v>
      </c>
      <c r="F4" s="192">
        <f>E4/12</f>
        <v>0</v>
      </c>
      <c r="G4" s="34"/>
    </row>
    <row r="5" spans="1:7" x14ac:dyDescent="0.25">
      <c r="A5" s="319" t="s">
        <v>203</v>
      </c>
      <c r="B5" s="320"/>
      <c r="C5" s="150">
        <v>4</v>
      </c>
      <c r="D5" s="202">
        <v>0</v>
      </c>
      <c r="E5" s="198">
        <f t="shared" si="0"/>
        <v>0</v>
      </c>
      <c r="F5" s="192">
        <f>E5/12</f>
        <v>0</v>
      </c>
      <c r="G5" s="34"/>
    </row>
    <row r="6" spans="1:7" x14ac:dyDescent="0.25">
      <c r="A6" s="319" t="s">
        <v>204</v>
      </c>
      <c r="B6" s="320"/>
      <c r="C6" s="195">
        <v>36</v>
      </c>
      <c r="D6" s="202">
        <v>0</v>
      </c>
      <c r="E6" s="198">
        <f t="shared" si="0"/>
        <v>0</v>
      </c>
      <c r="F6" s="192">
        <f t="shared" ref="F6:F10" si="1">E6/12</f>
        <v>0</v>
      </c>
      <c r="G6" s="34"/>
    </row>
    <row r="7" spans="1:7" x14ac:dyDescent="0.25">
      <c r="A7" s="319" t="s">
        <v>205</v>
      </c>
      <c r="B7" s="320"/>
      <c r="C7" s="195">
        <v>48</v>
      </c>
      <c r="D7" s="202">
        <v>0</v>
      </c>
      <c r="E7" s="198">
        <f t="shared" si="0"/>
        <v>0</v>
      </c>
      <c r="F7" s="192">
        <f t="shared" si="1"/>
        <v>0</v>
      </c>
      <c r="G7" s="34"/>
    </row>
    <row r="8" spans="1:7" x14ac:dyDescent="0.25">
      <c r="A8" s="319" t="s">
        <v>314</v>
      </c>
      <c r="B8" s="320"/>
      <c r="C8" s="195">
        <v>2</v>
      </c>
      <c r="D8" s="202">
        <v>0</v>
      </c>
      <c r="E8" s="198">
        <f t="shared" si="0"/>
        <v>0</v>
      </c>
      <c r="F8" s="192">
        <f t="shared" si="1"/>
        <v>0</v>
      </c>
      <c r="G8" s="34"/>
    </row>
    <row r="9" spans="1:7" x14ac:dyDescent="0.25">
      <c r="A9" s="319" t="s">
        <v>300</v>
      </c>
      <c r="B9" s="320"/>
      <c r="C9" s="195">
        <v>2</v>
      </c>
      <c r="D9" s="202">
        <v>0</v>
      </c>
      <c r="E9" s="198">
        <f t="shared" si="0"/>
        <v>0</v>
      </c>
      <c r="F9" s="192">
        <f t="shared" si="1"/>
        <v>0</v>
      </c>
      <c r="G9" s="34"/>
    </row>
    <row r="10" spans="1:7" x14ac:dyDescent="0.25">
      <c r="A10" s="319" t="s">
        <v>315</v>
      </c>
      <c r="B10" s="320"/>
      <c r="C10" s="195">
        <v>12</v>
      </c>
      <c r="D10" s="202">
        <v>0</v>
      </c>
      <c r="E10" s="198">
        <f t="shared" si="0"/>
        <v>0</v>
      </c>
      <c r="F10" s="192">
        <f t="shared" si="1"/>
        <v>0</v>
      </c>
      <c r="G10" s="34"/>
    </row>
    <row r="11" spans="1:7" x14ac:dyDescent="0.25">
      <c r="A11" s="318" t="s">
        <v>201</v>
      </c>
      <c r="B11" s="318"/>
      <c r="C11" s="188">
        <v>2</v>
      </c>
      <c r="D11" s="202">
        <v>0</v>
      </c>
      <c r="E11" s="198">
        <f>+D11*C11</f>
        <v>0</v>
      </c>
      <c r="F11" s="192">
        <f>+E11/12</f>
        <v>0</v>
      </c>
      <c r="G11" s="34"/>
    </row>
    <row r="12" spans="1:7" x14ac:dyDescent="0.25">
      <c r="A12" s="318" t="s">
        <v>367</v>
      </c>
      <c r="B12" s="318"/>
      <c r="C12" s="195">
        <v>2</v>
      </c>
      <c r="D12" s="202">
        <v>0</v>
      </c>
      <c r="E12" s="198">
        <f>+D12*C12</f>
        <v>0</v>
      </c>
      <c r="F12" s="192">
        <f>+E12/12</f>
        <v>0</v>
      </c>
      <c r="G12" s="34"/>
    </row>
    <row r="13" spans="1:7" x14ac:dyDescent="0.25">
      <c r="A13" s="324" t="s">
        <v>31</v>
      </c>
      <c r="B13" s="324"/>
      <c r="C13" s="324"/>
      <c r="D13" s="324"/>
      <c r="E13" s="324"/>
      <c r="F13" s="82">
        <f>SUM(F4:F12)</f>
        <v>0</v>
      </c>
      <c r="G13" s="34"/>
    </row>
    <row r="14" spans="1:7" x14ac:dyDescent="0.25">
      <c r="G14" s="34"/>
    </row>
  </sheetData>
  <mergeCells count="12">
    <mergeCell ref="A13:E13"/>
    <mergeCell ref="A12:B12"/>
    <mergeCell ref="A6:B6"/>
    <mergeCell ref="A7:B7"/>
    <mergeCell ref="A8:B8"/>
    <mergeCell ref="A9:B9"/>
    <mergeCell ref="A10:B10"/>
    <mergeCell ref="A3:B3"/>
    <mergeCell ref="A4:B4"/>
    <mergeCell ref="A5:B5"/>
    <mergeCell ref="A11:B11"/>
    <mergeCell ref="A1:F1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5"/>
  <sheetViews>
    <sheetView showGridLines="0" view="pageBreakPreview" topLeftCell="A46" zoomScaleNormal="100" zoomScaleSheetLayoutView="100" zoomScalePageLayoutView="80" workbookViewId="0">
      <selection activeCell="K55" sqref="K55"/>
    </sheetView>
  </sheetViews>
  <sheetFormatPr defaultColWidth="9.140625" defaultRowHeight="15.75" x14ac:dyDescent="0.25"/>
  <cols>
    <col min="1" max="1" width="8.28515625" style="35" customWidth="1"/>
    <col min="2" max="2" width="40.5703125" style="36" customWidth="1"/>
    <col min="3" max="3" width="10.42578125" style="35" customWidth="1"/>
    <col min="4" max="8" width="11.28515625" style="37" customWidth="1"/>
    <col min="9" max="9" width="12.7109375" style="37" customWidth="1"/>
    <col min="10" max="10" width="16" style="37" customWidth="1"/>
    <col min="11" max="11" width="16.42578125" style="37" customWidth="1"/>
    <col min="12" max="12" width="16.85546875" style="38" bestFit="1" customWidth="1"/>
    <col min="13" max="16384" width="9.140625" style="34"/>
  </cols>
  <sheetData>
    <row r="1" spans="1:12" x14ac:dyDescent="0.25">
      <c r="L1" s="34"/>
    </row>
    <row r="2" spans="1:12" x14ac:dyDescent="0.25">
      <c r="A2" s="326" t="s">
        <v>316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2" x14ac:dyDescent="0.25">
      <c r="A3" s="327" t="s">
        <v>306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9"/>
    </row>
    <row r="4" spans="1:12" x14ac:dyDescent="0.25">
      <c r="A4" s="325" t="s">
        <v>174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2" ht="47.45" customHeight="1" x14ac:dyDescent="0.25">
      <c r="A5" s="193" t="s">
        <v>175</v>
      </c>
      <c r="B5" s="193" t="s">
        <v>176</v>
      </c>
      <c r="C5" s="193" t="s">
        <v>184</v>
      </c>
      <c r="D5" s="196" t="s">
        <v>345</v>
      </c>
      <c r="E5" s="196" t="s">
        <v>346</v>
      </c>
      <c r="F5" s="196" t="s">
        <v>347</v>
      </c>
      <c r="G5" s="196" t="s">
        <v>348</v>
      </c>
      <c r="H5" s="205" t="s">
        <v>349</v>
      </c>
      <c r="I5" s="196" t="s">
        <v>171</v>
      </c>
      <c r="J5" s="196" t="s">
        <v>172</v>
      </c>
      <c r="K5" s="196" t="s">
        <v>177</v>
      </c>
      <c r="L5" s="196" t="s">
        <v>178</v>
      </c>
    </row>
    <row r="6" spans="1:12" s="73" customFormat="1" x14ac:dyDescent="0.25">
      <c r="A6" s="71">
        <v>1</v>
      </c>
      <c r="B6" s="200" t="s">
        <v>274</v>
      </c>
      <c r="C6" s="71" t="s">
        <v>318</v>
      </c>
      <c r="D6" s="204">
        <v>210</v>
      </c>
      <c r="E6" s="204">
        <v>30</v>
      </c>
      <c r="F6" s="204">
        <v>8</v>
      </c>
      <c r="G6" s="204">
        <v>10</v>
      </c>
      <c r="H6" s="206">
        <f>SUM(D6:G6)</f>
        <v>258</v>
      </c>
      <c r="I6" s="83"/>
      <c r="J6" s="83">
        <f>H6*I6</f>
        <v>0</v>
      </c>
      <c r="K6" s="72">
        <v>1</v>
      </c>
      <c r="L6" s="79">
        <f>J6/K6</f>
        <v>0</v>
      </c>
    </row>
    <row r="7" spans="1:12" s="73" customFormat="1" x14ac:dyDescent="0.25">
      <c r="A7" s="71">
        <v>2</v>
      </c>
      <c r="B7" s="200" t="s">
        <v>317</v>
      </c>
      <c r="C7" s="71" t="s">
        <v>319</v>
      </c>
      <c r="D7" s="204">
        <v>45</v>
      </c>
      <c r="E7" s="204">
        <v>0</v>
      </c>
      <c r="F7" s="204">
        <v>30</v>
      </c>
      <c r="G7" s="204">
        <v>0</v>
      </c>
      <c r="H7" s="206">
        <f t="shared" ref="H7:H30" si="0">SUM(D7:G7)</f>
        <v>75</v>
      </c>
      <c r="I7" s="83"/>
      <c r="J7" s="83">
        <f t="shared" ref="J7:J30" si="1">H7*I7</f>
        <v>0</v>
      </c>
      <c r="K7" s="72">
        <v>1</v>
      </c>
      <c r="L7" s="79">
        <f>K7*J7</f>
        <v>0</v>
      </c>
    </row>
    <row r="8" spans="1:12" s="73" customFormat="1" x14ac:dyDescent="0.25">
      <c r="A8" s="71">
        <v>3</v>
      </c>
      <c r="B8" s="200" t="s">
        <v>275</v>
      </c>
      <c r="C8" s="71" t="s">
        <v>319</v>
      </c>
      <c r="D8" s="204">
        <v>0</v>
      </c>
      <c r="E8" s="204">
        <v>10</v>
      </c>
      <c r="F8" s="204">
        <v>0</v>
      </c>
      <c r="G8" s="204">
        <v>5</v>
      </c>
      <c r="H8" s="206">
        <f t="shared" si="0"/>
        <v>15</v>
      </c>
      <c r="I8" s="83"/>
      <c r="J8" s="83">
        <f t="shared" si="1"/>
        <v>0</v>
      </c>
      <c r="K8" s="72">
        <v>1</v>
      </c>
      <c r="L8" s="79">
        <f>J8/K8</f>
        <v>0</v>
      </c>
    </row>
    <row r="9" spans="1:12" s="73" customFormat="1" x14ac:dyDescent="0.25">
      <c r="A9" s="71">
        <v>4</v>
      </c>
      <c r="B9" s="200" t="s">
        <v>276</v>
      </c>
      <c r="C9" s="71" t="s">
        <v>318</v>
      </c>
      <c r="D9" s="204">
        <v>40</v>
      </c>
      <c r="E9" s="204">
        <v>10</v>
      </c>
      <c r="F9" s="204">
        <v>20</v>
      </c>
      <c r="G9" s="204">
        <v>25</v>
      </c>
      <c r="H9" s="206">
        <f t="shared" si="0"/>
        <v>95</v>
      </c>
      <c r="I9" s="83"/>
      <c r="J9" s="83">
        <f t="shared" si="1"/>
        <v>0</v>
      </c>
      <c r="K9" s="72">
        <v>1</v>
      </c>
      <c r="L9" s="79">
        <f>K9*J9</f>
        <v>0</v>
      </c>
    </row>
    <row r="10" spans="1:12" s="73" customFormat="1" x14ac:dyDescent="0.25">
      <c r="A10" s="71">
        <v>5</v>
      </c>
      <c r="B10" s="200" t="s">
        <v>277</v>
      </c>
      <c r="C10" s="71" t="s">
        <v>318</v>
      </c>
      <c r="D10" s="204">
        <v>50</v>
      </c>
      <c r="E10" s="204">
        <v>20</v>
      </c>
      <c r="F10" s="204">
        <v>10</v>
      </c>
      <c r="G10" s="204">
        <v>6</v>
      </c>
      <c r="H10" s="206">
        <f t="shared" si="0"/>
        <v>86</v>
      </c>
      <c r="I10" s="83"/>
      <c r="J10" s="83">
        <f t="shared" si="1"/>
        <v>0</v>
      </c>
      <c r="K10" s="72">
        <v>1</v>
      </c>
      <c r="L10" s="79">
        <f>K10*J10</f>
        <v>0</v>
      </c>
    </row>
    <row r="11" spans="1:12" s="73" customFormat="1" x14ac:dyDescent="0.25">
      <c r="A11" s="71">
        <v>6</v>
      </c>
      <c r="B11" s="200" t="s">
        <v>320</v>
      </c>
      <c r="C11" s="71" t="s">
        <v>322</v>
      </c>
      <c r="D11" s="204">
        <v>10</v>
      </c>
      <c r="E11" s="204">
        <v>10</v>
      </c>
      <c r="F11" s="204">
        <v>5</v>
      </c>
      <c r="G11" s="204">
        <v>10</v>
      </c>
      <c r="H11" s="206">
        <f t="shared" si="0"/>
        <v>35</v>
      </c>
      <c r="I11" s="83"/>
      <c r="J11" s="83">
        <f t="shared" si="1"/>
        <v>0</v>
      </c>
      <c r="K11" s="72">
        <v>1</v>
      </c>
      <c r="L11" s="79">
        <f t="shared" ref="L11:L30" si="2">J11/K11</f>
        <v>0</v>
      </c>
    </row>
    <row r="12" spans="1:12" s="73" customFormat="1" ht="31.5" x14ac:dyDescent="0.25">
      <c r="A12" s="71">
        <v>7</v>
      </c>
      <c r="B12" s="191" t="s">
        <v>321</v>
      </c>
      <c r="C12" s="71" t="s">
        <v>322</v>
      </c>
      <c r="D12" s="204">
        <v>20</v>
      </c>
      <c r="E12" s="204">
        <v>10</v>
      </c>
      <c r="F12" s="204">
        <v>2</v>
      </c>
      <c r="G12" s="204">
        <v>2</v>
      </c>
      <c r="H12" s="206">
        <f t="shared" si="0"/>
        <v>34</v>
      </c>
      <c r="I12" s="83"/>
      <c r="J12" s="83">
        <f t="shared" si="1"/>
        <v>0</v>
      </c>
      <c r="K12" s="72">
        <v>1</v>
      </c>
      <c r="L12" s="79">
        <f t="shared" si="2"/>
        <v>0</v>
      </c>
    </row>
    <row r="13" spans="1:12" s="73" customFormat="1" x14ac:dyDescent="0.25">
      <c r="A13" s="71">
        <v>8</v>
      </c>
      <c r="B13" s="191" t="s">
        <v>278</v>
      </c>
      <c r="C13" s="71" t="s">
        <v>184</v>
      </c>
      <c r="D13" s="204">
        <v>30</v>
      </c>
      <c r="E13" s="204">
        <v>20</v>
      </c>
      <c r="F13" s="204">
        <v>4</v>
      </c>
      <c r="G13" s="204">
        <v>5</v>
      </c>
      <c r="H13" s="206">
        <f t="shared" si="0"/>
        <v>59</v>
      </c>
      <c r="I13" s="83"/>
      <c r="J13" s="83">
        <f t="shared" si="1"/>
        <v>0</v>
      </c>
      <c r="K13" s="72">
        <v>1</v>
      </c>
      <c r="L13" s="79">
        <f t="shared" si="2"/>
        <v>0</v>
      </c>
    </row>
    <row r="14" spans="1:12" s="73" customFormat="1" x14ac:dyDescent="0.25">
      <c r="A14" s="71">
        <v>9</v>
      </c>
      <c r="B14" s="191" t="s">
        <v>279</v>
      </c>
      <c r="C14" s="71" t="s">
        <v>318</v>
      </c>
      <c r="D14" s="204">
        <v>30</v>
      </c>
      <c r="E14" s="204">
        <v>5</v>
      </c>
      <c r="F14" s="204">
        <v>4</v>
      </c>
      <c r="G14" s="204">
        <v>2</v>
      </c>
      <c r="H14" s="206">
        <f t="shared" si="0"/>
        <v>41</v>
      </c>
      <c r="I14" s="83"/>
      <c r="J14" s="83">
        <f t="shared" si="1"/>
        <v>0</v>
      </c>
      <c r="K14" s="72">
        <v>1</v>
      </c>
      <c r="L14" s="79">
        <f t="shared" si="2"/>
        <v>0</v>
      </c>
    </row>
    <row r="15" spans="1:12" s="73" customFormat="1" x14ac:dyDescent="0.25">
      <c r="A15" s="71">
        <v>10</v>
      </c>
      <c r="B15" s="191" t="s">
        <v>280</v>
      </c>
      <c r="C15" s="71" t="s">
        <v>184</v>
      </c>
      <c r="D15" s="204">
        <v>15</v>
      </c>
      <c r="E15" s="204">
        <v>4</v>
      </c>
      <c r="F15" s="204">
        <v>3</v>
      </c>
      <c r="G15" s="204">
        <v>5</v>
      </c>
      <c r="H15" s="206">
        <f t="shared" si="0"/>
        <v>27</v>
      </c>
      <c r="I15" s="83"/>
      <c r="J15" s="83">
        <f t="shared" si="1"/>
        <v>0</v>
      </c>
      <c r="K15" s="72">
        <v>1</v>
      </c>
      <c r="L15" s="79">
        <f t="shared" si="2"/>
        <v>0</v>
      </c>
    </row>
    <row r="16" spans="1:12" s="73" customFormat="1" x14ac:dyDescent="0.25">
      <c r="A16" s="71">
        <v>11</v>
      </c>
      <c r="B16" s="191" t="s">
        <v>281</v>
      </c>
      <c r="C16" s="71" t="s">
        <v>184</v>
      </c>
      <c r="D16" s="204">
        <v>15</v>
      </c>
      <c r="E16" s="204">
        <v>20</v>
      </c>
      <c r="F16" s="204">
        <v>5</v>
      </c>
      <c r="G16" s="204">
        <v>10</v>
      </c>
      <c r="H16" s="206">
        <f t="shared" si="0"/>
        <v>50</v>
      </c>
      <c r="I16" s="83"/>
      <c r="J16" s="83">
        <f t="shared" si="1"/>
        <v>0</v>
      </c>
      <c r="K16" s="72">
        <v>1</v>
      </c>
      <c r="L16" s="79">
        <f t="shared" si="2"/>
        <v>0</v>
      </c>
    </row>
    <row r="17" spans="1:12" s="73" customFormat="1" x14ac:dyDescent="0.25">
      <c r="A17" s="71">
        <v>12</v>
      </c>
      <c r="B17" s="191" t="s">
        <v>282</v>
      </c>
      <c r="C17" s="71" t="s">
        <v>184</v>
      </c>
      <c r="D17" s="204">
        <v>12</v>
      </c>
      <c r="E17" s="204">
        <v>4</v>
      </c>
      <c r="F17" s="204">
        <v>2</v>
      </c>
      <c r="G17" s="204">
        <v>5</v>
      </c>
      <c r="H17" s="206">
        <f t="shared" si="0"/>
        <v>23</v>
      </c>
      <c r="I17" s="83"/>
      <c r="J17" s="83">
        <f t="shared" si="1"/>
        <v>0</v>
      </c>
      <c r="K17" s="72">
        <v>1</v>
      </c>
      <c r="L17" s="79">
        <f t="shared" si="2"/>
        <v>0</v>
      </c>
    </row>
    <row r="18" spans="1:12" s="73" customFormat="1" ht="31.5" x14ac:dyDescent="0.25">
      <c r="A18" s="71">
        <v>13</v>
      </c>
      <c r="B18" s="191" t="s">
        <v>323</v>
      </c>
      <c r="C18" s="71" t="s">
        <v>286</v>
      </c>
      <c r="D18" s="204">
        <v>10</v>
      </c>
      <c r="E18" s="204">
        <v>3</v>
      </c>
      <c r="F18" s="204">
        <v>3</v>
      </c>
      <c r="G18" s="204">
        <v>3</v>
      </c>
      <c r="H18" s="206">
        <f t="shared" si="0"/>
        <v>19</v>
      </c>
      <c r="I18" s="83"/>
      <c r="J18" s="83">
        <f t="shared" si="1"/>
        <v>0</v>
      </c>
      <c r="K18" s="72">
        <v>1</v>
      </c>
      <c r="L18" s="79">
        <f t="shared" si="2"/>
        <v>0</v>
      </c>
    </row>
    <row r="19" spans="1:12" s="73" customFormat="1" ht="31.5" x14ac:dyDescent="0.25">
      <c r="A19" s="71">
        <v>14</v>
      </c>
      <c r="B19" s="191" t="s">
        <v>324</v>
      </c>
      <c r="C19" s="71" t="s">
        <v>322</v>
      </c>
      <c r="D19" s="204">
        <v>80</v>
      </c>
      <c r="E19" s="204">
        <v>20</v>
      </c>
      <c r="F19" s="204">
        <v>10</v>
      </c>
      <c r="G19" s="204">
        <v>10</v>
      </c>
      <c r="H19" s="206">
        <f t="shared" si="0"/>
        <v>120</v>
      </c>
      <c r="I19" s="83"/>
      <c r="J19" s="83">
        <f t="shared" si="1"/>
        <v>0</v>
      </c>
      <c r="K19" s="72">
        <v>1</v>
      </c>
      <c r="L19" s="79">
        <f t="shared" si="2"/>
        <v>0</v>
      </c>
    </row>
    <row r="20" spans="1:12" s="73" customFormat="1" x14ac:dyDescent="0.25">
      <c r="A20" s="71">
        <v>15</v>
      </c>
      <c r="B20" s="191" t="s">
        <v>283</v>
      </c>
      <c r="C20" s="71" t="s">
        <v>318</v>
      </c>
      <c r="D20" s="204">
        <v>15</v>
      </c>
      <c r="E20" s="204">
        <v>20</v>
      </c>
      <c r="F20" s="204">
        <v>3</v>
      </c>
      <c r="G20" s="204">
        <v>5</v>
      </c>
      <c r="H20" s="206">
        <f t="shared" si="0"/>
        <v>43</v>
      </c>
      <c r="I20" s="83"/>
      <c r="J20" s="83">
        <f t="shared" si="1"/>
        <v>0</v>
      </c>
      <c r="K20" s="72">
        <v>1</v>
      </c>
      <c r="L20" s="79">
        <f t="shared" si="2"/>
        <v>0</v>
      </c>
    </row>
    <row r="21" spans="1:12" s="73" customFormat="1" x14ac:dyDescent="0.25">
      <c r="A21" s="71">
        <v>16</v>
      </c>
      <c r="B21" s="191" t="s">
        <v>284</v>
      </c>
      <c r="C21" s="71" t="s">
        <v>318</v>
      </c>
      <c r="D21" s="204">
        <v>3</v>
      </c>
      <c r="E21" s="204">
        <v>2</v>
      </c>
      <c r="F21" s="204">
        <v>2</v>
      </c>
      <c r="G21" s="204">
        <v>0</v>
      </c>
      <c r="H21" s="206">
        <f t="shared" si="0"/>
        <v>7</v>
      </c>
      <c r="I21" s="83"/>
      <c r="J21" s="83">
        <f t="shared" si="1"/>
        <v>0</v>
      </c>
      <c r="K21" s="72">
        <v>1</v>
      </c>
      <c r="L21" s="79">
        <f t="shared" si="2"/>
        <v>0</v>
      </c>
    </row>
    <row r="22" spans="1:12" s="73" customFormat="1" x14ac:dyDescent="0.25">
      <c r="A22" s="71">
        <v>17</v>
      </c>
      <c r="B22" s="191" t="s">
        <v>325</v>
      </c>
      <c r="C22" s="71" t="s">
        <v>318</v>
      </c>
      <c r="D22" s="204">
        <v>5</v>
      </c>
      <c r="E22" s="204">
        <v>2</v>
      </c>
      <c r="F22" s="204">
        <v>4</v>
      </c>
      <c r="G22" s="204">
        <v>4</v>
      </c>
      <c r="H22" s="206">
        <f t="shared" si="0"/>
        <v>15</v>
      </c>
      <c r="I22" s="83"/>
      <c r="J22" s="83">
        <f t="shared" si="1"/>
        <v>0</v>
      </c>
      <c r="K22" s="72">
        <v>1</v>
      </c>
      <c r="L22" s="79">
        <f t="shared" si="2"/>
        <v>0</v>
      </c>
    </row>
    <row r="23" spans="1:12" s="73" customFormat="1" x14ac:dyDescent="0.25">
      <c r="A23" s="71">
        <v>18</v>
      </c>
      <c r="B23" s="191" t="s">
        <v>285</v>
      </c>
      <c r="C23" s="71" t="s">
        <v>333</v>
      </c>
      <c r="D23" s="204">
        <v>4</v>
      </c>
      <c r="E23" s="204">
        <v>2</v>
      </c>
      <c r="F23" s="204">
        <v>4</v>
      </c>
      <c r="G23" s="204">
        <v>5</v>
      </c>
      <c r="H23" s="206">
        <f t="shared" si="0"/>
        <v>15</v>
      </c>
      <c r="I23" s="83"/>
      <c r="J23" s="83">
        <f t="shared" si="1"/>
        <v>0</v>
      </c>
      <c r="K23" s="72">
        <v>1</v>
      </c>
      <c r="L23" s="79">
        <f t="shared" si="2"/>
        <v>0</v>
      </c>
    </row>
    <row r="24" spans="1:12" s="73" customFormat="1" x14ac:dyDescent="0.25">
      <c r="A24" s="71">
        <v>19</v>
      </c>
      <c r="B24" s="191" t="s">
        <v>326</v>
      </c>
      <c r="C24" s="71" t="s">
        <v>184</v>
      </c>
      <c r="D24" s="204">
        <v>150</v>
      </c>
      <c r="E24" s="204">
        <v>100</v>
      </c>
      <c r="F24" s="204">
        <v>50</v>
      </c>
      <c r="G24" s="204">
        <v>0</v>
      </c>
      <c r="H24" s="206">
        <f t="shared" si="0"/>
        <v>300</v>
      </c>
      <c r="I24" s="83"/>
      <c r="J24" s="83">
        <f t="shared" si="1"/>
        <v>0</v>
      </c>
      <c r="K24" s="72">
        <v>1</v>
      </c>
      <c r="L24" s="79">
        <f t="shared" si="2"/>
        <v>0</v>
      </c>
    </row>
    <row r="25" spans="1:12" s="73" customFormat="1" x14ac:dyDescent="0.25">
      <c r="A25" s="71">
        <v>20</v>
      </c>
      <c r="B25" s="191" t="s">
        <v>327</v>
      </c>
      <c r="C25" s="71" t="s">
        <v>184</v>
      </c>
      <c r="D25" s="204">
        <v>100</v>
      </c>
      <c r="E25" s="204">
        <v>100</v>
      </c>
      <c r="F25" s="204">
        <v>50</v>
      </c>
      <c r="G25" s="204">
        <v>50</v>
      </c>
      <c r="H25" s="206">
        <f t="shared" si="0"/>
        <v>300</v>
      </c>
      <c r="I25" s="83"/>
      <c r="J25" s="83">
        <f t="shared" si="1"/>
        <v>0</v>
      </c>
      <c r="K25" s="72">
        <v>1</v>
      </c>
      <c r="L25" s="79">
        <f t="shared" si="2"/>
        <v>0</v>
      </c>
    </row>
    <row r="26" spans="1:12" s="73" customFormat="1" x14ac:dyDescent="0.25">
      <c r="A26" s="71">
        <v>21</v>
      </c>
      <c r="B26" s="191" t="s">
        <v>328</v>
      </c>
      <c r="C26" s="71" t="s">
        <v>184</v>
      </c>
      <c r="D26" s="204">
        <v>150</v>
      </c>
      <c r="E26" s="204">
        <v>50</v>
      </c>
      <c r="F26" s="204">
        <v>30</v>
      </c>
      <c r="G26" s="204">
        <v>100</v>
      </c>
      <c r="H26" s="206">
        <f t="shared" si="0"/>
        <v>330</v>
      </c>
      <c r="I26" s="83"/>
      <c r="J26" s="83">
        <f t="shared" si="1"/>
        <v>0</v>
      </c>
      <c r="K26" s="72">
        <v>1</v>
      </c>
      <c r="L26" s="79">
        <f t="shared" si="2"/>
        <v>0</v>
      </c>
    </row>
    <row r="27" spans="1:12" s="73" customFormat="1" x14ac:dyDescent="0.25">
      <c r="A27" s="71">
        <v>22</v>
      </c>
      <c r="B27" s="191" t="s">
        <v>329</v>
      </c>
      <c r="C27" s="71" t="s">
        <v>184</v>
      </c>
      <c r="D27" s="204">
        <v>10</v>
      </c>
      <c r="E27" s="204">
        <v>5</v>
      </c>
      <c r="F27" s="204">
        <v>0</v>
      </c>
      <c r="G27" s="204">
        <v>0</v>
      </c>
      <c r="H27" s="206">
        <f t="shared" si="0"/>
        <v>15</v>
      </c>
      <c r="I27" s="83"/>
      <c r="J27" s="83">
        <f t="shared" si="1"/>
        <v>0</v>
      </c>
      <c r="K27" s="72">
        <v>1</v>
      </c>
      <c r="L27" s="79">
        <f t="shared" ref="L27:L28" si="3">J27/K27</f>
        <v>0</v>
      </c>
    </row>
    <row r="28" spans="1:12" s="73" customFormat="1" x14ac:dyDescent="0.25">
      <c r="A28" s="71">
        <v>23</v>
      </c>
      <c r="B28" s="191" t="s">
        <v>330</v>
      </c>
      <c r="C28" s="71" t="s">
        <v>322</v>
      </c>
      <c r="D28" s="204">
        <v>3</v>
      </c>
      <c r="E28" s="204">
        <v>0</v>
      </c>
      <c r="F28" s="204">
        <v>0</v>
      </c>
      <c r="G28" s="204">
        <v>0</v>
      </c>
      <c r="H28" s="206">
        <f t="shared" si="0"/>
        <v>3</v>
      </c>
      <c r="I28" s="83"/>
      <c r="J28" s="83">
        <f t="shared" si="1"/>
        <v>0</v>
      </c>
      <c r="K28" s="72">
        <v>1</v>
      </c>
      <c r="L28" s="79">
        <f t="shared" si="3"/>
        <v>0</v>
      </c>
    </row>
    <row r="29" spans="1:12" s="73" customFormat="1" x14ac:dyDescent="0.25">
      <c r="A29" s="71">
        <v>24</v>
      </c>
      <c r="B29" s="191" t="s">
        <v>331</v>
      </c>
      <c r="C29" s="71" t="s">
        <v>334</v>
      </c>
      <c r="D29" s="204">
        <v>8</v>
      </c>
      <c r="E29" s="204">
        <v>0</v>
      </c>
      <c r="F29" s="204">
        <v>0</v>
      </c>
      <c r="G29" s="204">
        <v>0</v>
      </c>
      <c r="H29" s="206">
        <f t="shared" si="0"/>
        <v>8</v>
      </c>
      <c r="I29" s="83"/>
      <c r="J29" s="83">
        <f t="shared" si="1"/>
        <v>0</v>
      </c>
      <c r="K29" s="72">
        <v>1</v>
      </c>
      <c r="L29" s="79">
        <f t="shared" si="2"/>
        <v>0</v>
      </c>
    </row>
    <row r="30" spans="1:12" s="73" customFormat="1" x14ac:dyDescent="0.25">
      <c r="A30" s="71">
        <v>25</v>
      </c>
      <c r="B30" s="191" t="s">
        <v>332</v>
      </c>
      <c r="C30" s="71" t="s">
        <v>334</v>
      </c>
      <c r="D30" s="204">
        <v>4</v>
      </c>
      <c r="E30" s="204">
        <v>0</v>
      </c>
      <c r="F30" s="204">
        <v>0</v>
      </c>
      <c r="G30" s="204">
        <v>0</v>
      </c>
      <c r="H30" s="206">
        <f t="shared" si="0"/>
        <v>4</v>
      </c>
      <c r="I30" s="83"/>
      <c r="J30" s="83">
        <f t="shared" si="1"/>
        <v>0</v>
      </c>
      <c r="K30" s="72">
        <v>1</v>
      </c>
      <c r="L30" s="79">
        <f t="shared" si="2"/>
        <v>0</v>
      </c>
    </row>
    <row r="31" spans="1:12" s="73" customFormat="1" x14ac:dyDescent="0.25">
      <c r="A31" s="331" t="s">
        <v>179</v>
      </c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80">
        <f>SUM(L6:L30)</f>
        <v>0</v>
      </c>
    </row>
    <row r="32" spans="1:12" x14ac:dyDescent="0.25">
      <c r="A32" s="330" t="s">
        <v>183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81">
        <f>L31/PRODUTIVIDADE!I19</f>
        <v>0</v>
      </c>
    </row>
    <row r="33" spans="1:12" x14ac:dyDescent="0.25">
      <c r="A33" s="44"/>
      <c r="B33" s="45"/>
      <c r="C33" s="44"/>
      <c r="D33" s="46"/>
      <c r="E33" s="46"/>
      <c r="F33" s="46"/>
      <c r="G33" s="46"/>
      <c r="H33" s="46"/>
      <c r="I33" s="42"/>
      <c r="J33" s="42"/>
      <c r="K33" s="42"/>
      <c r="L33" s="47"/>
    </row>
    <row r="34" spans="1:12" ht="15.6" customHeight="1" x14ac:dyDescent="0.25">
      <c r="A34" s="325" t="s">
        <v>335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</row>
    <row r="35" spans="1:12" ht="47.25" x14ac:dyDescent="0.25">
      <c r="A35" s="193" t="s">
        <v>175</v>
      </c>
      <c r="B35" s="193" t="s">
        <v>176</v>
      </c>
      <c r="C35" s="193" t="s">
        <v>184</v>
      </c>
      <c r="D35" s="196" t="s">
        <v>345</v>
      </c>
      <c r="E35" s="196" t="s">
        <v>346</v>
      </c>
      <c r="F35" s="196" t="s">
        <v>347</v>
      </c>
      <c r="G35" s="196" t="s">
        <v>348</v>
      </c>
      <c r="H35" s="205" t="s">
        <v>349</v>
      </c>
      <c r="I35" s="196" t="s">
        <v>171</v>
      </c>
      <c r="J35" s="196" t="s">
        <v>172</v>
      </c>
      <c r="K35" s="196" t="s">
        <v>177</v>
      </c>
      <c r="L35" s="196" t="s">
        <v>178</v>
      </c>
    </row>
    <row r="36" spans="1:12" s="73" customFormat="1" x14ac:dyDescent="0.25">
      <c r="A36" s="71">
        <v>1</v>
      </c>
      <c r="B36" s="200" t="s">
        <v>296</v>
      </c>
      <c r="C36" s="71" t="s">
        <v>184</v>
      </c>
      <c r="D36" s="204">
        <v>10</v>
      </c>
      <c r="E36" s="204">
        <v>3</v>
      </c>
      <c r="F36" s="204">
        <v>1</v>
      </c>
      <c r="G36" s="204">
        <v>2</v>
      </c>
      <c r="H36" s="206">
        <f t="shared" ref="H36:H40" si="4">SUM(D36:G36)</f>
        <v>16</v>
      </c>
      <c r="I36" s="83"/>
      <c r="J36" s="83">
        <f t="shared" ref="J36:J40" si="5">H36*I36</f>
        <v>0</v>
      </c>
      <c r="K36" s="72">
        <v>2</v>
      </c>
      <c r="L36" s="79">
        <f>J36/K36</f>
        <v>0</v>
      </c>
    </row>
    <row r="37" spans="1:12" s="73" customFormat="1" x14ac:dyDescent="0.25">
      <c r="A37" s="71">
        <v>2</v>
      </c>
      <c r="B37" s="200" t="s">
        <v>289</v>
      </c>
      <c r="C37" s="71" t="s">
        <v>184</v>
      </c>
      <c r="D37" s="204">
        <v>8</v>
      </c>
      <c r="E37" s="204">
        <v>8</v>
      </c>
      <c r="F37" s="204">
        <v>4</v>
      </c>
      <c r="G37" s="204">
        <v>5</v>
      </c>
      <c r="H37" s="206">
        <f t="shared" si="4"/>
        <v>25</v>
      </c>
      <c r="I37" s="83"/>
      <c r="J37" s="83">
        <f t="shared" si="5"/>
        <v>0</v>
      </c>
      <c r="K37" s="72">
        <v>2</v>
      </c>
      <c r="L37" s="79">
        <f>K37*J37</f>
        <v>0</v>
      </c>
    </row>
    <row r="38" spans="1:12" s="73" customFormat="1" x14ac:dyDescent="0.25">
      <c r="A38" s="71">
        <v>3</v>
      </c>
      <c r="B38" s="200" t="s">
        <v>290</v>
      </c>
      <c r="C38" s="71" t="s">
        <v>184</v>
      </c>
      <c r="D38" s="204">
        <v>6</v>
      </c>
      <c r="E38" s="204">
        <v>4</v>
      </c>
      <c r="F38" s="204">
        <v>3</v>
      </c>
      <c r="G38" s="204">
        <v>5</v>
      </c>
      <c r="H38" s="206">
        <f t="shared" si="4"/>
        <v>18</v>
      </c>
      <c r="I38" s="83"/>
      <c r="J38" s="83">
        <f t="shared" si="5"/>
        <v>0</v>
      </c>
      <c r="K38" s="72">
        <v>2</v>
      </c>
      <c r="L38" s="79">
        <f>K38*J38</f>
        <v>0</v>
      </c>
    </row>
    <row r="39" spans="1:12" s="73" customFormat="1" x14ac:dyDescent="0.25">
      <c r="A39" s="71">
        <v>4</v>
      </c>
      <c r="B39" s="200" t="s">
        <v>336</v>
      </c>
      <c r="C39" s="71" t="s">
        <v>184</v>
      </c>
      <c r="D39" s="204">
        <v>8</v>
      </c>
      <c r="E39" s="204">
        <v>6</v>
      </c>
      <c r="F39" s="204">
        <v>3</v>
      </c>
      <c r="G39" s="204">
        <v>5</v>
      </c>
      <c r="H39" s="206">
        <f t="shared" si="4"/>
        <v>22</v>
      </c>
      <c r="I39" s="83"/>
      <c r="J39" s="83">
        <f t="shared" si="5"/>
        <v>0</v>
      </c>
      <c r="K39" s="72">
        <v>2</v>
      </c>
      <c r="L39" s="79">
        <f>K39*J39</f>
        <v>0</v>
      </c>
    </row>
    <row r="40" spans="1:12" s="73" customFormat="1" x14ac:dyDescent="0.25">
      <c r="A40" s="71">
        <v>5</v>
      </c>
      <c r="B40" s="200" t="s">
        <v>291</v>
      </c>
      <c r="C40" s="71" t="s">
        <v>184</v>
      </c>
      <c r="D40" s="204">
        <v>10</v>
      </c>
      <c r="E40" s="204">
        <v>6</v>
      </c>
      <c r="F40" s="204">
        <v>2</v>
      </c>
      <c r="G40" s="204">
        <v>5</v>
      </c>
      <c r="H40" s="206">
        <f t="shared" si="4"/>
        <v>23</v>
      </c>
      <c r="I40" s="83"/>
      <c r="J40" s="83">
        <f t="shared" si="5"/>
        <v>0</v>
      </c>
      <c r="K40" s="72">
        <v>2</v>
      </c>
      <c r="L40" s="79">
        <f t="shared" ref="L40" si="6">J40/K40</f>
        <v>0</v>
      </c>
    </row>
    <row r="41" spans="1:12" x14ac:dyDescent="0.25">
      <c r="A41" s="330" t="s">
        <v>179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82">
        <f>SUM(L36:L40)</f>
        <v>0</v>
      </c>
    </row>
    <row r="42" spans="1:12" x14ac:dyDescent="0.25">
      <c r="A42" s="330" t="s">
        <v>183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81">
        <f>L41/PRODUTIVIDADE!I19</f>
        <v>0</v>
      </c>
    </row>
    <row r="43" spans="1:12" x14ac:dyDescent="0.25">
      <c r="A43" s="48"/>
      <c r="B43" s="45"/>
      <c r="C43" s="44"/>
      <c r="D43" s="46"/>
      <c r="E43" s="46"/>
      <c r="F43" s="46"/>
      <c r="G43" s="46"/>
      <c r="H43" s="46"/>
      <c r="I43" s="46"/>
      <c r="J43" s="46"/>
      <c r="K43" s="46"/>
      <c r="L43" s="49"/>
    </row>
    <row r="44" spans="1:12" x14ac:dyDescent="0.25">
      <c r="A44" s="325" t="s">
        <v>337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</row>
    <row r="45" spans="1:12" ht="47.25" x14ac:dyDescent="0.25">
      <c r="A45" s="193" t="s">
        <v>175</v>
      </c>
      <c r="B45" s="193" t="s">
        <v>176</v>
      </c>
      <c r="C45" s="193" t="s">
        <v>184</v>
      </c>
      <c r="D45" s="196" t="s">
        <v>345</v>
      </c>
      <c r="E45" s="196" t="s">
        <v>346</v>
      </c>
      <c r="F45" s="196" t="s">
        <v>347</v>
      </c>
      <c r="G45" s="196" t="s">
        <v>348</v>
      </c>
      <c r="H45" s="205" t="s">
        <v>349</v>
      </c>
      <c r="I45" s="196" t="s">
        <v>171</v>
      </c>
      <c r="J45" s="196" t="s">
        <v>172</v>
      </c>
      <c r="K45" s="196" t="s">
        <v>177</v>
      </c>
      <c r="L45" s="196" t="s">
        <v>178</v>
      </c>
    </row>
    <row r="46" spans="1:12" x14ac:dyDescent="0.25">
      <c r="A46" s="71">
        <v>1</v>
      </c>
      <c r="B46" s="200" t="s">
        <v>292</v>
      </c>
      <c r="C46" s="71" t="s">
        <v>184</v>
      </c>
      <c r="D46" s="204">
        <v>6</v>
      </c>
      <c r="E46" s="204">
        <v>4</v>
      </c>
      <c r="F46" s="204">
        <v>4</v>
      </c>
      <c r="G46" s="204">
        <v>5</v>
      </c>
      <c r="H46" s="206">
        <f t="shared" ref="H46:H49" si="7">SUM(D46:G46)</f>
        <v>19</v>
      </c>
      <c r="I46" s="83"/>
      <c r="J46" s="83">
        <f t="shared" ref="J46:J49" si="8">H46*I46</f>
        <v>0</v>
      </c>
      <c r="K46" s="72">
        <v>6</v>
      </c>
      <c r="L46" s="79">
        <f>J46/K46</f>
        <v>0</v>
      </c>
    </row>
    <row r="47" spans="1:12" x14ac:dyDescent="0.25">
      <c r="A47" s="71">
        <v>2</v>
      </c>
      <c r="B47" s="200" t="s">
        <v>293</v>
      </c>
      <c r="C47" s="71" t="s">
        <v>184</v>
      </c>
      <c r="D47" s="204">
        <v>8</v>
      </c>
      <c r="E47" s="204">
        <v>4</v>
      </c>
      <c r="F47" s="204">
        <v>2</v>
      </c>
      <c r="G47" s="204">
        <v>3</v>
      </c>
      <c r="H47" s="206">
        <f t="shared" si="7"/>
        <v>17</v>
      </c>
      <c r="I47" s="83"/>
      <c r="J47" s="83">
        <f t="shared" si="8"/>
        <v>0</v>
      </c>
      <c r="K47" s="72">
        <v>6</v>
      </c>
      <c r="L47" s="79">
        <f>K47*J47</f>
        <v>0</v>
      </c>
    </row>
    <row r="48" spans="1:12" x14ac:dyDescent="0.25">
      <c r="A48" s="71">
        <v>3</v>
      </c>
      <c r="B48" s="200" t="s">
        <v>294</v>
      </c>
      <c r="C48" s="71" t="s">
        <v>184</v>
      </c>
      <c r="D48" s="204">
        <v>6</v>
      </c>
      <c r="E48" s="204">
        <v>4</v>
      </c>
      <c r="F48" s="204">
        <v>3</v>
      </c>
      <c r="G48" s="204">
        <v>4</v>
      </c>
      <c r="H48" s="206">
        <f t="shared" si="7"/>
        <v>17</v>
      </c>
      <c r="I48" s="83"/>
      <c r="J48" s="83">
        <f t="shared" si="8"/>
        <v>0</v>
      </c>
      <c r="K48" s="72">
        <v>6</v>
      </c>
      <c r="L48" s="79">
        <f>K48*J48</f>
        <v>0</v>
      </c>
    </row>
    <row r="49" spans="1:12" x14ac:dyDescent="0.25">
      <c r="A49" s="71">
        <v>4</v>
      </c>
      <c r="B49" s="200" t="s">
        <v>338</v>
      </c>
      <c r="C49" s="71" t="s">
        <v>184</v>
      </c>
      <c r="D49" s="204">
        <v>8</v>
      </c>
      <c r="E49" s="204">
        <v>0</v>
      </c>
      <c r="F49" s="204">
        <v>0</v>
      </c>
      <c r="G49" s="204">
        <v>0</v>
      </c>
      <c r="H49" s="206">
        <f t="shared" si="7"/>
        <v>8</v>
      </c>
      <c r="I49" s="83"/>
      <c r="J49" s="83">
        <f t="shared" si="8"/>
        <v>0</v>
      </c>
      <c r="K49" s="72">
        <v>6</v>
      </c>
      <c r="L49" s="79">
        <f>K49*J49</f>
        <v>0</v>
      </c>
    </row>
    <row r="50" spans="1:12" x14ac:dyDescent="0.25">
      <c r="A50" s="330" t="s">
        <v>179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82">
        <f>SUM(L46:L49)</f>
        <v>0</v>
      </c>
    </row>
    <row r="51" spans="1:12" x14ac:dyDescent="0.25">
      <c r="A51" s="330" t="s">
        <v>183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81">
        <f>L50/PRODUTIVIDADE!I19</f>
        <v>0</v>
      </c>
    </row>
    <row r="52" spans="1:12" x14ac:dyDescent="0.25">
      <c r="A52" s="48"/>
      <c r="B52" s="45"/>
      <c r="C52" s="44"/>
      <c r="D52" s="46"/>
      <c r="E52" s="46"/>
      <c r="F52" s="46"/>
      <c r="G52" s="46"/>
      <c r="H52" s="46"/>
      <c r="I52" s="46"/>
      <c r="J52" s="46"/>
      <c r="K52" s="46"/>
      <c r="L52" s="49"/>
    </row>
    <row r="53" spans="1:12" x14ac:dyDescent="0.25">
      <c r="A53" s="325" t="s">
        <v>180</v>
      </c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</row>
    <row r="54" spans="1:12" ht="47.25" x14ac:dyDescent="0.25">
      <c r="A54" s="193" t="s">
        <v>175</v>
      </c>
      <c r="B54" s="193" t="s">
        <v>176</v>
      </c>
      <c r="C54" s="193" t="s">
        <v>184</v>
      </c>
      <c r="D54" s="196" t="s">
        <v>345</v>
      </c>
      <c r="E54" s="196" t="s">
        <v>346</v>
      </c>
      <c r="F54" s="196" t="s">
        <v>347</v>
      </c>
      <c r="G54" s="196" t="s">
        <v>348</v>
      </c>
      <c r="H54" s="205" t="s">
        <v>349</v>
      </c>
      <c r="I54" s="196" t="s">
        <v>171</v>
      </c>
      <c r="J54" s="196" t="s">
        <v>172</v>
      </c>
      <c r="K54" s="196" t="s">
        <v>177</v>
      </c>
      <c r="L54" s="196" t="s">
        <v>178</v>
      </c>
    </row>
    <row r="55" spans="1:12" x14ac:dyDescent="0.25">
      <c r="A55" s="71">
        <v>1</v>
      </c>
      <c r="B55" s="200" t="s">
        <v>295</v>
      </c>
      <c r="C55" s="71" t="s">
        <v>184</v>
      </c>
      <c r="D55" s="204">
        <v>3</v>
      </c>
      <c r="E55" s="204">
        <v>1</v>
      </c>
      <c r="F55" s="204">
        <v>1</v>
      </c>
      <c r="G55" s="204">
        <v>2</v>
      </c>
      <c r="H55" s="206">
        <f t="shared" ref="H55:H60" si="9">SUM(D55:G55)</f>
        <v>7</v>
      </c>
      <c r="I55" s="83"/>
      <c r="J55" s="83">
        <f>H55*I55</f>
        <v>0</v>
      </c>
      <c r="K55" s="72">
        <v>60</v>
      </c>
      <c r="L55" s="79">
        <f>J55/K55</f>
        <v>0</v>
      </c>
    </row>
    <row r="56" spans="1:12" x14ac:dyDescent="0.25">
      <c r="A56" s="71">
        <v>2</v>
      </c>
      <c r="B56" s="200" t="s">
        <v>339</v>
      </c>
      <c r="C56" s="71" t="s">
        <v>184</v>
      </c>
      <c r="D56" s="204">
        <v>15</v>
      </c>
      <c r="E56" s="204">
        <v>8</v>
      </c>
      <c r="F56" s="204">
        <v>4</v>
      </c>
      <c r="G56" s="204">
        <v>10</v>
      </c>
      <c r="H56" s="206">
        <f t="shared" si="9"/>
        <v>37</v>
      </c>
      <c r="I56" s="83"/>
      <c r="J56" s="83">
        <f>H56*I56</f>
        <v>0</v>
      </c>
      <c r="K56" s="72">
        <v>60</v>
      </c>
      <c r="L56" s="79">
        <f t="shared" ref="L56:L60" si="10">J56/K56</f>
        <v>0</v>
      </c>
    </row>
    <row r="57" spans="1:12" x14ac:dyDescent="0.25">
      <c r="A57" s="71">
        <v>3</v>
      </c>
      <c r="B57" s="200" t="s">
        <v>340</v>
      </c>
      <c r="C57" s="71" t="s">
        <v>184</v>
      </c>
      <c r="D57" s="204">
        <v>20</v>
      </c>
      <c r="E57" s="204">
        <v>12</v>
      </c>
      <c r="F57" s="204">
        <v>10</v>
      </c>
      <c r="G57" s="204">
        <v>0</v>
      </c>
      <c r="H57" s="206">
        <f t="shared" si="9"/>
        <v>42</v>
      </c>
      <c r="I57" s="83"/>
      <c r="J57" s="83">
        <f t="shared" ref="J57:J60" si="11">H57*I57</f>
        <v>0</v>
      </c>
      <c r="K57" s="72">
        <v>60</v>
      </c>
      <c r="L57" s="79">
        <f t="shared" si="10"/>
        <v>0</v>
      </c>
    </row>
    <row r="58" spans="1:12" x14ac:dyDescent="0.25">
      <c r="A58" s="71">
        <v>4</v>
      </c>
      <c r="B58" s="200" t="s">
        <v>341</v>
      </c>
      <c r="C58" s="71" t="s">
        <v>184</v>
      </c>
      <c r="D58" s="204">
        <v>14</v>
      </c>
      <c r="E58" s="204">
        <v>8</v>
      </c>
      <c r="F58" s="204">
        <v>12</v>
      </c>
      <c r="G58" s="204">
        <v>0</v>
      </c>
      <c r="H58" s="206">
        <f t="shared" si="9"/>
        <v>34</v>
      </c>
      <c r="I58" s="83"/>
      <c r="J58" s="83">
        <f t="shared" si="11"/>
        <v>0</v>
      </c>
      <c r="K58" s="72">
        <v>60</v>
      </c>
      <c r="L58" s="79">
        <f t="shared" si="10"/>
        <v>0</v>
      </c>
    </row>
    <row r="59" spans="1:12" x14ac:dyDescent="0.25">
      <c r="A59" s="71">
        <v>5</v>
      </c>
      <c r="B59" s="200" t="s">
        <v>342</v>
      </c>
      <c r="C59" s="71" t="s">
        <v>184</v>
      </c>
      <c r="D59" s="204">
        <v>14</v>
      </c>
      <c r="E59" s="204">
        <v>6</v>
      </c>
      <c r="F59" s="204">
        <v>6</v>
      </c>
      <c r="G59" s="204">
        <v>0</v>
      </c>
      <c r="H59" s="206">
        <f t="shared" si="9"/>
        <v>26</v>
      </c>
      <c r="I59" s="83"/>
      <c r="J59" s="83">
        <f t="shared" si="11"/>
        <v>0</v>
      </c>
      <c r="K59" s="72">
        <v>60</v>
      </c>
      <c r="L59" s="79">
        <f t="shared" si="10"/>
        <v>0</v>
      </c>
    </row>
    <row r="60" spans="1:12" x14ac:dyDescent="0.25">
      <c r="A60" s="71">
        <v>6</v>
      </c>
      <c r="B60" s="200" t="s">
        <v>343</v>
      </c>
      <c r="C60" s="71" t="s">
        <v>184</v>
      </c>
      <c r="D60" s="204">
        <v>14</v>
      </c>
      <c r="E60" s="204">
        <v>8</v>
      </c>
      <c r="F60" s="204">
        <v>6</v>
      </c>
      <c r="G60" s="204">
        <v>0</v>
      </c>
      <c r="H60" s="206">
        <f t="shared" si="9"/>
        <v>28</v>
      </c>
      <c r="I60" s="83"/>
      <c r="J60" s="83">
        <f t="shared" si="11"/>
        <v>0</v>
      </c>
      <c r="K60" s="72">
        <v>60</v>
      </c>
      <c r="L60" s="79">
        <f t="shared" si="10"/>
        <v>0</v>
      </c>
    </row>
    <row r="61" spans="1:12" x14ac:dyDescent="0.25">
      <c r="A61" s="330" t="s">
        <v>179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82">
        <f>SUM(L55:L60)</f>
        <v>0</v>
      </c>
    </row>
    <row r="62" spans="1:12" x14ac:dyDescent="0.25">
      <c r="A62" s="330" t="s">
        <v>183</v>
      </c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81">
        <f>L61/PRODUTIVIDADE!I19</f>
        <v>0</v>
      </c>
    </row>
    <row r="63" spans="1:12" x14ac:dyDescent="0.25">
      <c r="A63" s="48"/>
      <c r="B63" s="45"/>
      <c r="C63" s="44"/>
      <c r="D63" s="46"/>
      <c r="E63" s="46"/>
      <c r="F63" s="46"/>
      <c r="G63" s="46"/>
      <c r="H63" s="46"/>
      <c r="I63" s="46"/>
      <c r="J63" s="46"/>
      <c r="K63" s="46"/>
      <c r="L63" s="49"/>
    </row>
    <row r="64" spans="1:12" x14ac:dyDescent="0.25">
      <c r="A64" s="48"/>
      <c r="B64" s="45"/>
      <c r="C64" s="44"/>
      <c r="D64" s="46"/>
      <c r="E64" s="46"/>
      <c r="F64" s="46"/>
      <c r="G64" s="46"/>
      <c r="H64" s="46"/>
      <c r="I64" s="46"/>
      <c r="J64" s="332" t="s">
        <v>208</v>
      </c>
      <c r="K64" s="332"/>
      <c r="L64" s="185">
        <f>L32+L42+L51</f>
        <v>0</v>
      </c>
    </row>
    <row r="65" spans="1:12" x14ac:dyDescent="0.25">
      <c r="A65" s="48"/>
      <c r="B65" s="45"/>
      <c r="C65" s="44"/>
      <c r="D65" s="46"/>
      <c r="E65" s="46"/>
      <c r="F65" s="46"/>
      <c r="G65" s="46"/>
      <c r="H65" s="46"/>
      <c r="I65" s="46"/>
      <c r="J65" s="332" t="s">
        <v>344</v>
      </c>
      <c r="K65" s="332"/>
      <c r="L65" s="185">
        <f>L62</f>
        <v>0</v>
      </c>
    </row>
  </sheetData>
  <mergeCells count="16">
    <mergeCell ref="A50:K50"/>
    <mergeCell ref="A51:K51"/>
    <mergeCell ref="A53:L53"/>
    <mergeCell ref="J64:K64"/>
    <mergeCell ref="J65:K65"/>
    <mergeCell ref="A61:K61"/>
    <mergeCell ref="A62:K62"/>
    <mergeCell ref="A4:L4"/>
    <mergeCell ref="A2:L2"/>
    <mergeCell ref="A3:L3"/>
    <mergeCell ref="A44:L44"/>
    <mergeCell ref="A41:K41"/>
    <mergeCell ref="A42:K42"/>
    <mergeCell ref="A31:K31"/>
    <mergeCell ref="A32:K32"/>
    <mergeCell ref="A34:L34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9"/>
  <sheetViews>
    <sheetView showGridLines="0" view="pageBreakPreview" zoomScale="120" zoomScaleNormal="100" zoomScaleSheetLayoutView="120" zoomScalePageLayoutView="60" workbookViewId="0">
      <selection activeCell="A17" sqref="A17:E17"/>
    </sheetView>
  </sheetViews>
  <sheetFormatPr defaultRowHeight="15" x14ac:dyDescent="0.25"/>
  <cols>
    <col min="1" max="1" width="44.5703125" customWidth="1"/>
    <col min="5" max="5" width="14" customWidth="1"/>
  </cols>
  <sheetData>
    <row r="1" spans="1:9" ht="21.75" thickBot="1" x14ac:dyDescent="0.3">
      <c r="A1" s="321" t="s">
        <v>189</v>
      </c>
      <c r="B1" s="322"/>
      <c r="C1" s="322"/>
      <c r="D1" s="322"/>
      <c r="E1" s="322"/>
      <c r="F1" s="322"/>
      <c r="G1" s="28"/>
      <c r="H1" s="28"/>
      <c r="I1" s="28"/>
    </row>
    <row r="2" spans="1:9" ht="15.75" x14ac:dyDescent="0.25">
      <c r="A2" s="35"/>
      <c r="B2" s="36"/>
      <c r="C2" s="35"/>
      <c r="D2" s="37"/>
      <c r="E2" s="37"/>
      <c r="F2" s="37"/>
      <c r="G2" s="28"/>
      <c r="H2" s="28"/>
      <c r="I2" s="28"/>
    </row>
    <row r="3" spans="1:9" ht="36.6" customHeight="1" x14ac:dyDescent="0.25">
      <c r="A3" s="203" t="s">
        <v>169</v>
      </c>
      <c r="B3" s="39" t="s">
        <v>170</v>
      </c>
      <c r="C3" s="324" t="s">
        <v>171</v>
      </c>
      <c r="D3" s="324"/>
      <c r="E3" s="40" t="s">
        <v>172</v>
      </c>
      <c r="F3" s="196" t="s">
        <v>173</v>
      </c>
      <c r="G3" s="28"/>
      <c r="H3" s="28"/>
      <c r="I3" s="28"/>
    </row>
    <row r="4" spans="1:9" ht="15.75" x14ac:dyDescent="0.25">
      <c r="A4" s="207" t="s">
        <v>351</v>
      </c>
      <c r="B4" s="195">
        <v>1</v>
      </c>
      <c r="C4" s="333">
        <v>0</v>
      </c>
      <c r="D4" s="333"/>
      <c r="E4" s="41">
        <f>+C4*B4</f>
        <v>0</v>
      </c>
      <c r="F4" s="43">
        <f>E4/12</f>
        <v>0</v>
      </c>
      <c r="G4" s="28"/>
      <c r="H4" s="28"/>
      <c r="I4" s="28"/>
    </row>
    <row r="5" spans="1:9" ht="15.75" x14ac:dyDescent="0.25">
      <c r="A5" s="324" t="s">
        <v>350</v>
      </c>
      <c r="B5" s="324"/>
      <c r="C5" s="324"/>
      <c r="D5" s="324"/>
      <c r="E5" s="324"/>
      <c r="F5" s="43">
        <f>SUM(F4:F4)</f>
        <v>0</v>
      </c>
      <c r="G5" s="28"/>
      <c r="H5" s="28"/>
      <c r="I5" s="28"/>
    </row>
    <row r="6" spans="1:9" ht="16.5" thickBot="1" x14ac:dyDescent="0.3">
      <c r="A6" s="28"/>
      <c r="B6" s="28"/>
      <c r="C6" s="28"/>
      <c r="D6" s="28"/>
      <c r="E6" s="28"/>
      <c r="F6" s="28"/>
      <c r="G6" s="28"/>
      <c r="H6" s="28"/>
      <c r="I6" s="28"/>
    </row>
    <row r="7" spans="1:9" ht="21.75" thickBot="1" x14ac:dyDescent="0.3">
      <c r="A7" s="336" t="s">
        <v>188</v>
      </c>
      <c r="B7" s="337"/>
      <c r="C7" s="337"/>
      <c r="D7" s="337"/>
      <c r="E7" s="337"/>
      <c r="F7" s="337"/>
      <c r="G7" s="28"/>
      <c r="H7" s="28"/>
      <c r="I7" s="28"/>
    </row>
    <row r="8" spans="1:9" ht="15.75" x14ac:dyDescent="0.25">
      <c r="A8" s="35"/>
      <c r="B8" s="36"/>
      <c r="C8" s="35"/>
      <c r="D8" s="37"/>
      <c r="E8" s="37"/>
      <c r="F8" s="37"/>
      <c r="G8" s="28"/>
      <c r="H8" s="28"/>
      <c r="I8" s="28"/>
    </row>
    <row r="9" spans="1:9" ht="36.6" customHeight="1" x14ac:dyDescent="0.25">
      <c r="A9" s="203" t="s">
        <v>169</v>
      </c>
      <c r="B9" s="39" t="s">
        <v>170</v>
      </c>
      <c r="C9" s="324" t="s">
        <v>171</v>
      </c>
      <c r="D9" s="324"/>
      <c r="E9" s="40" t="s">
        <v>172</v>
      </c>
      <c r="F9" s="196" t="s">
        <v>173</v>
      </c>
      <c r="G9" s="28"/>
      <c r="H9" s="28"/>
      <c r="I9" s="28"/>
    </row>
    <row r="10" spans="1:9" ht="15.75" x14ac:dyDescent="0.25">
      <c r="A10" s="207" t="s">
        <v>352</v>
      </c>
      <c r="B10" s="195">
        <v>1</v>
      </c>
      <c r="C10" s="333">
        <v>0</v>
      </c>
      <c r="D10" s="333"/>
      <c r="E10" s="41">
        <f>+C10*B10</f>
        <v>0</v>
      </c>
      <c r="F10" s="43">
        <f>E10/12</f>
        <v>0</v>
      </c>
      <c r="G10" s="28"/>
      <c r="H10" s="28"/>
      <c r="I10" s="28"/>
    </row>
    <row r="11" spans="1:9" ht="15.75" x14ac:dyDescent="0.25">
      <c r="A11" s="324" t="s">
        <v>350</v>
      </c>
      <c r="B11" s="324"/>
      <c r="C11" s="324"/>
      <c r="D11" s="324"/>
      <c r="E11" s="324"/>
      <c r="F11" s="43">
        <f>SUM(F10:F10)</f>
        <v>0</v>
      </c>
      <c r="G11" s="28"/>
      <c r="H11" s="28"/>
      <c r="I11" s="28"/>
    </row>
    <row r="12" spans="1:9" ht="16.5" thickBot="1" x14ac:dyDescent="0.3">
      <c r="A12" s="197"/>
      <c r="B12" s="197"/>
      <c r="C12" s="197"/>
      <c r="D12" s="197"/>
      <c r="E12" s="197"/>
      <c r="F12" s="42"/>
      <c r="G12" s="28"/>
      <c r="H12" s="28"/>
      <c r="I12" s="28"/>
    </row>
    <row r="13" spans="1:9" ht="21.75" thickBot="1" x14ac:dyDescent="0.3">
      <c r="A13" s="336" t="s">
        <v>299</v>
      </c>
      <c r="B13" s="337"/>
      <c r="C13" s="337"/>
      <c r="D13" s="337"/>
      <c r="E13" s="337"/>
      <c r="F13" s="337"/>
      <c r="G13" s="28"/>
      <c r="H13" s="28"/>
      <c r="I13" s="28"/>
    </row>
    <row r="14" spans="1:9" ht="15.75" x14ac:dyDescent="0.25">
      <c r="A14" s="35"/>
      <c r="B14" s="36"/>
      <c r="C14" s="35"/>
      <c r="D14" s="37"/>
      <c r="E14" s="37"/>
      <c r="F14" s="37"/>
      <c r="G14" s="28"/>
      <c r="H14" s="28"/>
      <c r="I14" s="28"/>
    </row>
    <row r="15" spans="1:9" ht="34.9" customHeight="1" x14ac:dyDescent="0.25">
      <c r="A15" s="203" t="s">
        <v>169</v>
      </c>
      <c r="B15" s="39" t="s">
        <v>170</v>
      </c>
      <c r="C15" s="324" t="s">
        <v>171</v>
      </c>
      <c r="D15" s="324"/>
      <c r="E15" s="40" t="s">
        <v>172</v>
      </c>
      <c r="F15" s="199" t="s">
        <v>173</v>
      </c>
      <c r="G15" s="28"/>
      <c r="H15" s="28"/>
      <c r="I15" s="28"/>
    </row>
    <row r="16" spans="1:9" ht="15.75" x14ac:dyDescent="0.25">
      <c r="A16" s="207" t="s">
        <v>353</v>
      </c>
      <c r="B16" s="195">
        <v>1</v>
      </c>
      <c r="C16" s="333">
        <v>0</v>
      </c>
      <c r="D16" s="333"/>
      <c r="E16" s="41">
        <f>+C16*B16</f>
        <v>0</v>
      </c>
      <c r="F16" s="43">
        <f>E16/12</f>
        <v>0</v>
      </c>
      <c r="G16" s="28"/>
      <c r="H16" s="28"/>
      <c r="I16" s="28"/>
    </row>
    <row r="17" spans="1:9" ht="15.75" x14ac:dyDescent="0.25">
      <c r="A17" s="334" t="s">
        <v>350</v>
      </c>
      <c r="B17" s="335"/>
      <c r="C17" s="335"/>
      <c r="D17" s="335"/>
      <c r="E17" s="335"/>
      <c r="F17" s="43">
        <f>SUM(F16:F16)</f>
        <v>0</v>
      </c>
      <c r="G17" s="28"/>
      <c r="H17" s="28"/>
      <c r="I17" s="28"/>
    </row>
    <row r="18" spans="1:9" ht="15.75" x14ac:dyDescent="0.2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5.75" x14ac:dyDescent="0.25">
      <c r="A19" s="28"/>
      <c r="B19" s="28"/>
      <c r="C19" s="28"/>
      <c r="D19" s="28"/>
      <c r="E19" s="28"/>
      <c r="F19" s="28"/>
      <c r="G19" s="28"/>
      <c r="H19" s="28"/>
      <c r="I19" s="28"/>
    </row>
  </sheetData>
  <mergeCells count="12">
    <mergeCell ref="C3:D3"/>
    <mergeCell ref="C4:D4"/>
    <mergeCell ref="A1:F1"/>
    <mergeCell ref="A17:E17"/>
    <mergeCell ref="A13:F13"/>
    <mergeCell ref="C15:D15"/>
    <mergeCell ref="C16:D16"/>
    <mergeCell ref="A11:E11"/>
    <mergeCell ref="C9:D9"/>
    <mergeCell ref="C10:D10"/>
    <mergeCell ref="A5:E5"/>
    <mergeCell ref="A7:F7"/>
  </mergeCells>
  <pageMargins left="0.51181102362204722" right="0.51181102362204722" top="0.78740157480314965" bottom="0.78740157480314965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8</vt:i4>
      </vt:variant>
    </vt:vector>
  </HeadingPairs>
  <TitlesOfParts>
    <vt:vector size="19" baseType="lpstr">
      <vt:lpstr>Plan2</vt:lpstr>
      <vt:lpstr>Plan3</vt:lpstr>
      <vt:lpstr>resumo</vt:lpstr>
      <vt:lpstr>Auxiliar de limpeza - diurno</vt:lpstr>
      <vt:lpstr>Limpador de fachada</vt:lpstr>
      <vt:lpstr>Encarregado</vt:lpstr>
      <vt:lpstr>UNIFORMES</vt:lpstr>
      <vt:lpstr>MATERIAS E EQUIPAMENTOS</vt:lpstr>
      <vt:lpstr>SEGURANÇA  CURSOS TREINA</vt:lpstr>
      <vt:lpstr>M2</vt:lpstr>
      <vt:lpstr>PRODUTIVIDADE</vt:lpstr>
      <vt:lpstr>'Auxiliar de limpeza - diurno'!Area_de_impressao</vt:lpstr>
      <vt:lpstr>Encarregado!Area_de_impressao</vt:lpstr>
      <vt:lpstr>'Limpador de fachada'!Area_de_impressao</vt:lpstr>
      <vt:lpstr>'M2'!Area_de_impressao</vt:lpstr>
      <vt:lpstr>'MATERIAS E EQUIPAMENTOS'!Area_de_impressao</vt:lpstr>
      <vt:lpstr>resumo!Area_de_impressao</vt:lpstr>
      <vt:lpstr>'SEGURANÇA  CURSOS TREINA'!Area_de_impressao</vt:lpstr>
      <vt:lpstr>UNIFORMES!Area_de_impressao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gabryel</dc:creator>
  <cp:lastModifiedBy>Maiza Braga Barbeto</cp:lastModifiedBy>
  <cp:lastPrinted>2022-01-14T13:05:58Z</cp:lastPrinted>
  <dcterms:created xsi:type="dcterms:W3CDTF">2014-04-11T01:53:38Z</dcterms:created>
  <dcterms:modified xsi:type="dcterms:W3CDTF">2022-01-18T16:57:43Z</dcterms:modified>
</cp:coreProperties>
</file>