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697605249\Desktop\TRANSPORTE ESCOLAR - RO\"/>
    </mc:Choice>
  </mc:AlternateContent>
  <bookViews>
    <workbookView xWindow="0" yWindow="0" windowWidth="28800" windowHeight="12435" tabRatio="701"/>
  </bookViews>
  <sheets>
    <sheet name="COMPOSIÇÃO DOS CUSTOS" sheetId="1" r:id="rId1"/>
    <sheet name="CUSTO COM PESSOAL" sheetId="3" r:id="rId2"/>
    <sheet name="PERCENTUAL FOLHA DE PESSOAL" sheetId="4" r:id="rId3"/>
    <sheet name="DEPRECIAÇÃO LINEAR" sheetId="5" r:id="rId4"/>
    <sheet name="TIPO DO ÔNIBUS" sheetId="6" r:id="rId5"/>
    <sheet name="TABELA DE VALORES POR TRECHO" sheetId="7" r:id="rId6"/>
  </sheets>
  <externalReferences>
    <externalReference r:id="rId7"/>
  </externalReferences>
  <definedNames>
    <definedName name="_xlnm.Print_Area" localSheetId="0">'COMPOSIÇÃO DOS CUSTOS'!$A$1:$P$90</definedName>
    <definedName name="_xlnm.Print_Area" localSheetId="1">'CUSTO COM PESSOAL'!$A$1:$H$114</definedName>
    <definedName name="_xlnm.Print_Area" localSheetId="3">'DEPRECIAÇÃO LINEAR'!$A$1:$P$25</definedName>
    <definedName name="_xlnm.Print_Area" localSheetId="5">'TABELA DE VALORES POR TRECHO'!$A$1:$I$20</definedName>
  </definedNames>
  <calcPr calcId="152511"/>
</workbook>
</file>

<file path=xl/calcChain.xml><?xml version="1.0" encoding="utf-8"?>
<calcChain xmlns="http://schemas.openxmlformats.org/spreadsheetml/2006/main">
  <c r="E41" i="1" l="1"/>
  <c r="O11" i="1" l="1"/>
  <c r="O14" i="1" l="1"/>
  <c r="O16" i="1"/>
  <c r="O18" i="1" l="1"/>
  <c r="E16" i="1"/>
  <c r="E33" i="1" l="1"/>
  <c r="E25" i="1" l="1"/>
  <c r="E38" i="1" l="1"/>
  <c r="K39" i="1" l="1"/>
  <c r="K38" i="1"/>
  <c r="C56" i="3" l="1"/>
  <c r="C57" i="3" s="1"/>
  <c r="K61" i="1" l="1"/>
  <c r="K63" i="1"/>
  <c r="C17" i="3" l="1"/>
  <c r="E12" i="1" l="1"/>
  <c r="H20" i="5" l="1"/>
  <c r="E24" i="1"/>
  <c r="K40" i="1" s="1"/>
  <c r="K41" i="1" l="1"/>
  <c r="H21" i="5"/>
  <c r="H22" i="5" s="1"/>
  <c r="H23" i="5" s="1"/>
  <c r="K51" i="1" s="1"/>
  <c r="K60" i="1"/>
  <c r="K57" i="1" l="1"/>
  <c r="K58" i="1"/>
  <c r="K59" i="1"/>
  <c r="J56" i="1"/>
  <c r="K56" i="1" s="1"/>
  <c r="C110" i="3"/>
  <c r="C109" i="3"/>
  <c r="C108" i="3"/>
  <c r="C106" i="3"/>
  <c r="C72" i="3"/>
  <c r="C55" i="3"/>
  <c r="C54" i="3"/>
  <c r="C53" i="3"/>
  <c r="C51" i="3"/>
  <c r="D43" i="3"/>
  <c r="D98" i="3" s="1"/>
  <c r="D41" i="3"/>
  <c r="D96" i="3" s="1"/>
  <c r="D40" i="3"/>
  <c r="D95" i="3" s="1"/>
  <c r="D36" i="3"/>
  <c r="D91" i="3" s="1"/>
  <c r="D35" i="3"/>
  <c r="D90" i="3" s="1"/>
  <c r="D34" i="3"/>
  <c r="D89" i="3" s="1"/>
  <c r="D33" i="3"/>
  <c r="D88" i="3" s="1"/>
  <c r="D32" i="3"/>
  <c r="D87" i="3" s="1"/>
  <c r="D86" i="3"/>
  <c r="D28" i="3"/>
  <c r="D83" i="3" s="1"/>
  <c r="D27" i="3"/>
  <c r="D82" i="3" s="1"/>
  <c r="D26" i="3"/>
  <c r="D81" i="3" s="1"/>
  <c r="D25" i="3"/>
  <c r="D80" i="3" s="1"/>
  <c r="D24" i="3"/>
  <c r="D79" i="3" s="1"/>
  <c r="D23" i="3"/>
  <c r="D78" i="3" s="1"/>
  <c r="D22" i="3"/>
  <c r="D77" i="3" s="1"/>
  <c r="D21" i="3"/>
  <c r="D76" i="3" s="1"/>
  <c r="C21" i="3" l="1"/>
  <c r="C111" i="3"/>
  <c r="D111" i="3" s="1"/>
  <c r="C40" i="3"/>
  <c r="K42" i="1"/>
  <c r="D57" i="3"/>
  <c r="C66" i="3"/>
  <c r="C12" i="3"/>
  <c r="C98" i="3"/>
  <c r="C23" i="3"/>
  <c r="C27" i="3"/>
  <c r="C32" i="3"/>
  <c r="C36" i="3"/>
  <c r="C41" i="3"/>
  <c r="C25" i="3"/>
  <c r="C34" i="3"/>
  <c r="C43" i="3"/>
  <c r="C22" i="3"/>
  <c r="C24" i="3"/>
  <c r="C26" i="3"/>
  <c r="C28" i="3"/>
  <c r="C31" i="3"/>
  <c r="C33" i="3"/>
  <c r="C35" i="3"/>
  <c r="C77" i="3"/>
  <c r="C79" i="3"/>
  <c r="C81" i="3"/>
  <c r="C83" i="3"/>
  <c r="C86" i="3"/>
  <c r="C88" i="3"/>
  <c r="C90" i="3"/>
  <c r="C95" i="3"/>
  <c r="C76" i="3"/>
  <c r="C78" i="3"/>
  <c r="C80" i="3"/>
  <c r="C82" i="3"/>
  <c r="C87" i="3"/>
  <c r="C89" i="3"/>
  <c r="C91" i="3"/>
  <c r="C96" i="3"/>
  <c r="K45" i="1" l="1"/>
  <c r="K43" i="1"/>
  <c r="C92" i="3"/>
  <c r="C84" i="3"/>
  <c r="C37" i="3"/>
  <c r="C29" i="3"/>
  <c r="K47" i="1" l="1"/>
  <c r="D37" i="3"/>
  <c r="D29" i="3"/>
  <c r="C42" i="3" s="1"/>
  <c r="D92" i="3"/>
  <c r="D84" i="3"/>
  <c r="C97" i="3" s="1"/>
  <c r="D97" i="3" l="1"/>
  <c r="C99" i="3"/>
  <c r="D99" i="3" s="1"/>
  <c r="D42" i="3"/>
  <c r="C44" i="3"/>
  <c r="D44" i="3" s="1"/>
  <c r="C93" i="3"/>
  <c r="C38" i="3"/>
  <c r="D38" i="3" l="1"/>
  <c r="C46" i="3"/>
  <c r="D93" i="3"/>
  <c r="C101" i="3"/>
  <c r="C59" i="3" l="1"/>
  <c r="C60" i="3" s="1"/>
  <c r="D46" i="3"/>
  <c r="D101" i="3"/>
  <c r="C113" i="3"/>
  <c r="C114" i="3" s="1"/>
  <c r="D60" i="3" l="1"/>
  <c r="K53" i="1"/>
  <c r="D114" i="3"/>
  <c r="K54" i="1"/>
  <c r="K64" i="1" l="1"/>
  <c r="K66" i="1" s="1"/>
  <c r="K69" i="1" l="1"/>
  <c r="K70" i="1" s="1"/>
  <c r="K71" i="1" l="1"/>
  <c r="K74" i="1" l="1"/>
  <c r="K75" i="1" s="1"/>
  <c r="K77" i="1" l="1"/>
  <c r="K76" i="1"/>
  <c r="K78" i="1" l="1"/>
  <c r="K84" i="1" s="1"/>
  <c r="K89" i="1" s="1"/>
</calcChain>
</file>

<file path=xl/comments1.xml><?xml version="1.0" encoding="utf-8"?>
<comments xmlns="http://schemas.openxmlformats.org/spreadsheetml/2006/main">
  <authors>
    <author>61697605249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61697605249: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<sst xmlns="http://schemas.openxmlformats.org/spreadsheetml/2006/main" count="456" uniqueCount="311">
  <si>
    <t>valor FIPE</t>
  </si>
  <si>
    <t>PERCENTUAL DE DEPRECIAÇÃO</t>
  </si>
  <si>
    <t>DADOS DE RODAGEM</t>
  </si>
  <si>
    <t>DADOS DO COMBUSTÍVEL</t>
  </si>
  <si>
    <t xml:space="preserve">Iten 1.1 </t>
  </si>
  <si>
    <t xml:space="preserve">COEFICIENTE </t>
  </si>
  <si>
    <t>l/km</t>
  </si>
  <si>
    <t>Item 1.2</t>
  </si>
  <si>
    <t>Item 1.3</t>
  </si>
  <si>
    <t>RODAGEM                 CONSUMO:</t>
  </si>
  <si>
    <t xml:space="preserve">PREÇO DO PNEU:                                        </t>
  </si>
  <si>
    <t>por veículo, sem rodagem</t>
  </si>
  <si>
    <t xml:space="preserve">Nº DE PNEUS:                                                           </t>
  </si>
  <si>
    <t>Item 1.4</t>
  </si>
  <si>
    <t>por km</t>
  </si>
  <si>
    <t>KM</t>
  </si>
  <si>
    <t>DISTÂNCIA DA ROTA POR DIA:</t>
  </si>
  <si>
    <t>por mês</t>
  </si>
  <si>
    <t xml:space="preserve">CONSUMO:                                                             </t>
  </si>
  <si>
    <t>km/l</t>
  </si>
  <si>
    <t xml:space="preserve">PREÇO DO LITRO DO DIESEL:                       </t>
  </si>
  <si>
    <t xml:space="preserve">Item 1:            CUSTOS VARIÁVEIS </t>
  </si>
  <si>
    <t>ITEM 02:       CUSTOS FIXOS</t>
  </si>
  <si>
    <t>Item 2.1</t>
  </si>
  <si>
    <t>ANO DE FABRICAÇÃO:</t>
  </si>
  <si>
    <t>Despesa de Depreciação do veículo:</t>
  </si>
  <si>
    <t>Faixa de Idade</t>
  </si>
  <si>
    <t>Item 2.3</t>
  </si>
  <si>
    <t>Custo com Pessoal:</t>
  </si>
  <si>
    <t>Motorista:</t>
  </si>
  <si>
    <t>PLANILHA DE COMPOSIÇÃO DE CUSTOS</t>
  </si>
  <si>
    <t>PROJEÇÃO DE DESPESAS COM MÃO DE OBRA DIRETA</t>
  </si>
  <si>
    <t>MOTORISTA</t>
  </si>
  <si>
    <t>Motoristas Demandados (unidade)</t>
  </si>
  <si>
    <t>Motorista Reserva</t>
  </si>
  <si>
    <t>Total Motoristas</t>
  </si>
  <si>
    <t>Sindicato Responsável</t>
  </si>
  <si>
    <t>Sindicato dos Trabalhadores em Transporte Rodoviário no Estado de Rondônia</t>
  </si>
  <si>
    <t>Categoria Profissional</t>
  </si>
  <si>
    <t>Motorista Municipal - Condutor de Passageiros</t>
  </si>
  <si>
    <t>Data Base da Categoria (período vigente)</t>
  </si>
  <si>
    <t>Piso Salarial (R$)</t>
  </si>
  <si>
    <t>Bonus Assiduidade (R$)</t>
  </si>
  <si>
    <t>Total (R$)</t>
  </si>
  <si>
    <t>MOTORISTA - ENCARGOS SOCIAIS E TRABALHISTAS</t>
  </si>
  <si>
    <t>A</t>
  </si>
  <si>
    <t>ENCARGOS DIRETOS - Grupo A</t>
  </si>
  <si>
    <t>Valores Mensais</t>
  </si>
  <si>
    <t>Percentual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</si>
  <si>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</si>
  <si>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</si>
  <si>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</si>
  <si>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</si>
  <si>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</si>
  <si>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</si>
  <si>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</si>
  <si>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</si>
  <si>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Subtotal - Encargos Diretos</t>
  </si>
  <si>
    <t>B</t>
  </si>
  <si>
    <t>PROVISÕES - Grupo B</t>
  </si>
  <si>
    <t>Férias + 1/3</t>
  </si>
  <si>
    <t>13˚ Salário</t>
  </si>
  <si>
    <t>Auxílio Doença</t>
  </si>
  <si>
    <t>Licença Paternidade</t>
  </si>
  <si>
    <t>Acidente de Trabalho</t>
  </si>
  <si>
    <t>Ausências Legais</t>
  </si>
  <si>
    <t>Subtotal - Provisões</t>
  </si>
  <si>
    <t>A x B</t>
  </si>
  <si>
    <t>Encargos sobre Provisões (A% x B)</t>
  </si>
  <si>
    <t>C</t>
  </si>
  <si>
    <t>RESCISÕES - Grupo C</t>
  </si>
  <si>
    <t>Aviso Prévio Indenizado</t>
  </si>
  <si>
    <t>Indenização Adicional</t>
  </si>
  <si>
    <t>A x C</t>
  </si>
  <si>
    <t>Encargos sobre Rescisões (A% x C)</t>
  </si>
  <si>
    <t xml:space="preserve">Multa de FGTS sobre Rescisões sem Justa Causa </t>
  </si>
  <si>
    <t>Subtotal - Rescisões</t>
  </si>
  <si>
    <t>Total - Encargos Sociais e Trabalhistas</t>
  </si>
  <si>
    <t>MOTORISTA - BENEFÍCIOS E OUTROS</t>
  </si>
  <si>
    <t>D</t>
  </si>
  <si>
    <t>BENEFÍCIOS E OUTROS - Grupo D</t>
  </si>
  <si>
    <t>Quant.</t>
  </si>
  <si>
    <t>Preço Unit.</t>
  </si>
  <si>
    <t>Auxilio Alimentação (cesta básica)</t>
  </si>
  <si>
    <t>Exame médico admissional/demissional</t>
  </si>
  <si>
    <t>Seguro de vida</t>
  </si>
  <si>
    <t>Uniforme completo (calça/camisa/bota/crachá)</t>
  </si>
  <si>
    <t>Total - Benefícios e Outros</t>
  </si>
  <si>
    <t>Remuneração Individual + Encargos e Benefícios</t>
  </si>
  <si>
    <t>R$ / Km</t>
  </si>
  <si>
    <t>Remuneração Mensal - Motoristas</t>
  </si>
  <si>
    <t>MONITOR</t>
  </si>
  <si>
    <t>Monitores Demandados (unidade)</t>
  </si>
  <si>
    <t>Monitor Reserva</t>
  </si>
  <si>
    <t>MN</t>
  </si>
  <si>
    <t>Total Monitores</t>
  </si>
  <si>
    <t>Monitor</t>
  </si>
  <si>
    <t>MONITOR - ENCARGOS SOCIAIS E TRABALHISTAS</t>
  </si>
  <si>
    <t>MONITOR - BENEFÍCIOS E OUTROS</t>
  </si>
  <si>
    <t>Remuneração Mensal - Monitores</t>
  </si>
  <si>
    <t>PLANILHA DE COMPOSIÇÃO DE CUSTOS PROJEÇÃO DE DESPESAS COM MÃO DE OBRA DIRETA</t>
  </si>
  <si>
    <t>ANEXO I</t>
  </si>
  <si>
    <t>FUNDAMENTAÇÃO DOS PERCENTUAIS APLICADOS À FOLHA DE PESSOAL</t>
  </si>
  <si>
    <t>ENCARGOS SOCIAIS E TRABALHISTAS</t>
  </si>
  <si>
    <t>ENCARGOS DIRETOS</t>
  </si>
  <si>
    <t>Legislação Aplicada</t>
  </si>
  <si>
    <t>Percentuais</t>
  </si>
  <si>
    <t>Lei Federal 8.212/1991, Art. 22, inciso I.</t>
  </si>
  <si>
    <t>Lei 8.036/1990, art. 30 e Lei 8.154/1990, art. 1º.</t>
  </si>
  <si>
    <t>Decreto-Lei 2.318/1986</t>
  </si>
  <si>
    <t>Decreto-Lei 1.146/1970, art. 1º, inciso I.</t>
  </si>
  <si>
    <t>Decreto-Lei 87.043/1982, art. 3º, inciso I.</t>
  </si>
  <si>
    <t>Lei 8.036/1990, art. 15 e CR, art. 7º, inciso III.</t>
  </si>
  <si>
    <t>Lei Federal 8.212/1991, Art. 22, inciso II, alínea b.</t>
  </si>
  <si>
    <t>Lei 8.029/1990, alterada pela Lei 8.154/1990</t>
  </si>
  <si>
    <t>PROVISÕES</t>
  </si>
  <si>
    <t>CR/1988, art. 7º, XVII. % = 1 Salário / 12 Meses x 4/3 = 0,1111</t>
  </si>
  <si>
    <t>CR/1988, art. 7º, VIII. % = 1 Salário / 12 Meses = 0,0833</t>
  </si>
  <si>
    <t>Lei 8.213/1991, art. 59 a 64. Conforme o MPOG, temos a previsão de 5,96 dias por ano, portanto % = (5,96 / 30) / (1 / 12) = 0,0166</t>
  </si>
  <si>
    <t>Lei 8.213/1991, art. 19 a 23. Correlato aos 15 primeiros dias de afastamento de um empregado que tenha se acidentado. A partir do 16º dia, o ônus será assumido pelo INSS. Conforme o MPOG, temos a previsão de 0,91 dias por ano, portanto % = (0,91 / 30) / (1 / 12) = 0,002528</t>
  </si>
  <si>
    <t>CR/1988, art. 7º, XIX e CLT, art. 10, § 1º. Trata-se da licença de 5 dias corridos, iniciados após o nascimento do filho, para os homens. Estimativa de fecundidade de 1,5% (um inteiro e cinco décimos por cento) dos funcionários usufruindo 5 (cinco) dias da licença por ano. Portanto, teremos % = ( 5 / 30) / 12 x 0,015 = 0,000208</t>
  </si>
  <si>
    <t>CLT, art. 473. Estimativa de 1 (uma) ausência por ano, portanto % = (1 / 30) / 12</t>
  </si>
  <si>
    <t>RESCISÕES</t>
  </si>
  <si>
    <t>CR/1988, art. 7º, XXI e, CLT, art. 477, 487 e 491. Não há consenso sobre o percentual padrão a ser aplicado, pois deve ter por base um índice de rotatividade dos trabalhadores que operam na empresa. Supondo que a rotatividade média dos funcionários seja de três anos (36 meses), podemos projetar como % = (12 / 36) / 12 = 0,0277</t>
  </si>
  <si>
    <t>Lei 6.708/1979 e Lei 7.238/1984, ambas no artigo 9º, determinam uma indenização adicional, equivalente a um salário mensal, no caso de dispensa sem justa causa. Considerando que 10% dos funcionários pedem demissão, esta indenização será aplicada aos 90% restantes. Supondo que a rotatividade média dos funcionários seja de três anos (36 meses), podemos projetar como % = 0,90 x (12 / 36) / 12 = 0,0250</t>
  </si>
  <si>
    <t>Multa do FGTS sobre Rescisões sem Justa Causa</t>
  </si>
  <si>
    <t>CR/1988, art. 7º, inciso I e  Decreto 99.684/1990, art. 9º, parágrafo 1º. Conforme descrito no item "Indenização Adicional", como 10% dos funcionários pedem demissão, teremos a obrigação de pagar multa de 40% sobre os depósitos acumulados ao FGTS, nos casos de demissão sem justa causa, sobre 90% dos funcionários, logo % = 0,08 x 0,40 x 0,90 = 0,0288</t>
  </si>
  <si>
    <t>Fonte:</t>
  </si>
  <si>
    <t>MPOG - Manual de orientação para preenchimento da planilha de custo e formação de preços, versão 1.0 - maio de 2011.</t>
  </si>
  <si>
    <t>http://www.comprasnet.gov.br/publicacoes/manuais/Manual_preenchimento_planilha_de_custo_-_27-05-2011.pdf</t>
  </si>
  <si>
    <t>STF - Secretaria de Controle Interno - Atualização dos percentuais máximos para encargos sociais.</t>
  </si>
  <si>
    <t>http://www.stf.jus.br/arquivo/cms/sobrestfestudosci/anexo/encargos_sociais_03102007.pdf</t>
  </si>
  <si>
    <t>Item 2.4</t>
  </si>
  <si>
    <t>Subitem 2.3.1</t>
  </si>
  <si>
    <t>Subitem 2.3.2</t>
  </si>
  <si>
    <t>Subitem 2.4.1</t>
  </si>
  <si>
    <t>Tributos relativos ao veículo:</t>
  </si>
  <si>
    <t>IPVA: (1% sobre o valor do veículo):</t>
  </si>
  <si>
    <t>Subitem 2.4.2</t>
  </si>
  <si>
    <t xml:space="preserve">Licenciamento anual: </t>
  </si>
  <si>
    <t>Subitem 2.4.3</t>
  </si>
  <si>
    <t>Vistoria:</t>
  </si>
  <si>
    <t>Seguro DPVAT:</t>
  </si>
  <si>
    <t>Item 2.5</t>
  </si>
  <si>
    <t>Base de cálculo (Custos Váriaveis + Custo Fixo)</t>
  </si>
  <si>
    <t>TOTAL DOS CUSTOS FIXOS</t>
  </si>
  <si>
    <t>ISS</t>
  </si>
  <si>
    <t xml:space="preserve">PIS </t>
  </si>
  <si>
    <t>COFINS</t>
  </si>
  <si>
    <t>ALÍQUOTA</t>
  </si>
  <si>
    <t>TOTAL DE TRIBUTOS:</t>
  </si>
  <si>
    <t>CUSTO POR KM</t>
  </si>
  <si>
    <t>por Km</t>
  </si>
  <si>
    <t>VALOR DO INTINERÁRIO AO MÊS</t>
  </si>
  <si>
    <t xml:space="preserve">COMBUSTÍVEL          CONSUMO: </t>
  </si>
  <si>
    <t>Item 4.1</t>
  </si>
  <si>
    <t>Custo Indireto:</t>
  </si>
  <si>
    <t>PERCENTUAL</t>
  </si>
  <si>
    <t xml:space="preserve">TOTAL DO SERVIÇO PRESTADO: </t>
  </si>
  <si>
    <t>Item 2.6</t>
  </si>
  <si>
    <t>Custo de Lavagem do veículo</t>
  </si>
  <si>
    <t>Lucro Bruto:</t>
  </si>
  <si>
    <t>Item 2.7</t>
  </si>
  <si>
    <t>Item 2.8</t>
  </si>
  <si>
    <t xml:space="preserve">Monitoramento Veicular: </t>
  </si>
  <si>
    <t>Seguro de Terceiros:</t>
  </si>
  <si>
    <t>Nº DE LUGARES:                                           ATÉ           36 ALUNOS</t>
  </si>
  <si>
    <t xml:space="preserve">IDADE DO VEÍCULO:                                                    60 MESES </t>
  </si>
  <si>
    <t>TRANSPORTE ESCOLAR RURAL - CÁCULO DO CUSTO MENSAL POR QUILÔMETRO.</t>
  </si>
  <si>
    <t>ÔNIBUS:</t>
  </si>
  <si>
    <t xml:space="preserve">VALOR: </t>
  </si>
  <si>
    <t>VIDA ÚTIL:</t>
  </si>
  <si>
    <t>QUANTIDADE DE PNEUS:</t>
  </si>
  <si>
    <t>TIPO:</t>
  </si>
  <si>
    <t>Nº DE LUGARES:</t>
  </si>
  <si>
    <t>VIDA ÚTIL DO PNEU:</t>
  </si>
  <si>
    <t>PREÇO DO PNEU:</t>
  </si>
  <si>
    <t>CONSUMO:</t>
  </si>
  <si>
    <t>K/L</t>
  </si>
  <si>
    <t>MICRO ÔNIBUS</t>
  </si>
  <si>
    <t xml:space="preserve">QUANTIDADE DE PNEUS: </t>
  </si>
  <si>
    <t>VAN</t>
  </si>
  <si>
    <t>KOMBI</t>
  </si>
  <si>
    <t xml:space="preserve">IDADE DO VEÍCULO:                                                    </t>
  </si>
  <si>
    <t>Veículo:</t>
  </si>
  <si>
    <t xml:space="preserve">VIDA ÚTIL DO VEÍCULO:                                              </t>
  </si>
  <si>
    <t>ANO DE FABRICAÇÃO</t>
  </si>
  <si>
    <t>VAN 2015</t>
  </si>
  <si>
    <t>KOMBI 2015</t>
  </si>
  <si>
    <t xml:space="preserve">Nº DE LUGARES:                                          </t>
  </si>
  <si>
    <t>ATÉ 36 VAN</t>
  </si>
  <si>
    <t>ATÉ 36 KIMBI</t>
  </si>
  <si>
    <t>VAN6</t>
  </si>
  <si>
    <t>KOMBI6</t>
  </si>
  <si>
    <t>VAN 80.000</t>
  </si>
  <si>
    <t>KOMBI 80.000</t>
  </si>
  <si>
    <t>TIPO DE VEÍCULO</t>
  </si>
  <si>
    <t>VIDA ÚTIL</t>
  </si>
  <si>
    <t>VEÍCULO NOVO</t>
  </si>
  <si>
    <t>(EM ANOS)</t>
  </si>
  <si>
    <t>VEÍCULO USADO</t>
  </si>
  <si>
    <t>VALOR RESIDUAL VEÍCULO NOVO</t>
  </si>
  <si>
    <t>(%)</t>
  </si>
  <si>
    <t>VAN, KOMBI E AUTOMÓVEL</t>
  </si>
  <si>
    <t>MICRO-ÔNIBUS E ÔNIBUS</t>
  </si>
  <si>
    <t>ONIBUS:</t>
  </si>
  <si>
    <t>Depreciação anual:</t>
  </si>
  <si>
    <t>Depreciação mensal:</t>
  </si>
  <si>
    <t>Valor Residual:</t>
  </si>
  <si>
    <t>VEíCULO NOVO:</t>
  </si>
  <si>
    <t>MÉTODO LINEAR:</t>
  </si>
  <si>
    <t>ÍNDICE RESIDUAL DO VEÍCULO:                               90%</t>
  </si>
  <si>
    <t>VEÍCULO NOVO:</t>
  </si>
  <si>
    <t>CLASSIFICAÇÃO DO VEÍCULO</t>
  </si>
  <si>
    <t>FABRICANTE</t>
  </si>
  <si>
    <t>MODELO</t>
  </si>
  <si>
    <t>Nº DE PASSAGEIROS</t>
  </si>
  <si>
    <t>MODELO PNEU</t>
  </si>
  <si>
    <t>PREÇO MÉDIO PNEU</t>
  </si>
  <si>
    <t>VIDA ÚTIL PNEU (KM RODADOS)</t>
  </si>
  <si>
    <t>TANQUE (LITROS)</t>
  </si>
  <si>
    <t>CONSUMO</t>
  </si>
  <si>
    <t>ÔNIBUS RURAL ESCOLAR - ORE 1</t>
  </si>
  <si>
    <t>VOLKSWAGEN</t>
  </si>
  <si>
    <t>4,7 KM/L</t>
  </si>
  <si>
    <t>MARCOPOLO</t>
  </si>
  <si>
    <t>275/80 R 22,5</t>
  </si>
  <si>
    <t>MERCEDEZ BENZ</t>
  </si>
  <si>
    <t>Notas Explicativas:</t>
  </si>
  <si>
    <t xml:space="preserve">1) A categoria e a classificação dos veículos obedecem o descritivo do Caderno de Informações Técnicas Ônibus Rural Escolar, encontrado no site do Fundo Nacional de Desenvolvimento da Educação (FNDE): http://www.fnde.gov.br.   </t>
  </si>
  <si>
    <t>ATÉ 29 ALUNOS</t>
  </si>
  <si>
    <t>ATÉ 59 ALUNOS</t>
  </si>
  <si>
    <t>TRANSPOTE ESCOLAR - RONDÔNIA</t>
  </si>
  <si>
    <t>DEPRECIAÇÃO VEICULAR</t>
  </si>
  <si>
    <t xml:space="preserve">Auxílio Transporte </t>
  </si>
  <si>
    <t>Bonus po Assiduidade</t>
  </si>
  <si>
    <t>Bonus por Assiduidade</t>
  </si>
  <si>
    <t>anos</t>
  </si>
  <si>
    <t>MÉTODO DE COLE</t>
  </si>
  <si>
    <t>LINEAR</t>
  </si>
  <si>
    <t>TOTAL:</t>
  </si>
  <si>
    <t>CUSTO VARIÁVEL + CUSTO FIXO</t>
  </si>
  <si>
    <t>ITEM 03: CUSTO INDIRETO E LUCRO</t>
  </si>
  <si>
    <t>ITEM 04: TRIBUTOS RELATIVOS AO FATUTRAMENTO</t>
  </si>
  <si>
    <t>Custos Váriaveis + Custos Fixos Custos Indiretos e Lucro + Tributos</t>
  </si>
  <si>
    <t>TRECHO PAVIMENTADO:</t>
  </si>
  <si>
    <t>TRECHO NÃO PAVIMENTADO:</t>
  </si>
  <si>
    <t>QUANTIDADE PERCORRIDA TRECHO PAVIMENTADO/MÊS:</t>
  </si>
  <si>
    <t>QUANTIDADE PERCORRIDA TRECHO NÃO PAVIMENTADO/MÊS:</t>
  </si>
  <si>
    <t>QUANTIDADE TOTAL DA ROTA MÊS:</t>
  </si>
  <si>
    <t xml:space="preserve">Valor do Intinerário / Quantidade de Km percorrida no mês (trecho pavimentado). </t>
  </si>
  <si>
    <t>Item 2.9</t>
  </si>
  <si>
    <t>Cronotacógrafo:</t>
  </si>
  <si>
    <t>Exame toxicológico</t>
  </si>
  <si>
    <t xml:space="preserve"> 1/3 de férias</t>
  </si>
  <si>
    <t>1/3 de férias</t>
  </si>
  <si>
    <t>TOTAL CUSTOS VARIÁVEIS - TRECHO PAVIMENTADO:</t>
  </si>
  <si>
    <t>TOTAL CUSTOS VARIÁVEIS - TRECHO NÃO PAVIMENTADO:</t>
  </si>
  <si>
    <t>TOTAL DO TRECHO (PAVIMENTADO + NÃO PAVIMENTADO):</t>
  </si>
  <si>
    <t>Nº DE RECAPAGENS:</t>
  </si>
  <si>
    <t>VALOR DA RECAPAGEM:</t>
  </si>
  <si>
    <t>VIDA ÚTIL DO PNEU COM AS RECAPAGENS:</t>
  </si>
  <si>
    <t xml:space="preserve">DADOS DO VEÍCULO:                                      </t>
  </si>
  <si>
    <r>
      <rPr>
        <b/>
        <sz val="22"/>
        <color theme="1"/>
        <rFont val="Calibri"/>
        <family val="2"/>
        <scheme val="minor"/>
      </rPr>
      <t>Estado de Rondônia</t>
    </r>
    <r>
      <rPr>
        <sz val="11"/>
        <color theme="1"/>
        <rFont val="Calibri"/>
        <family val="2"/>
        <scheme val="minor"/>
      </rPr>
      <t xml:space="preserve">
</t>
    </r>
  </si>
  <si>
    <t>TABELA DE VALOR REFERÊNCIAL PREÇO POR TRECHO</t>
  </si>
  <si>
    <t>VALORES - R$</t>
  </si>
  <si>
    <t>FAIXA POR KM</t>
  </si>
  <si>
    <t>Até 40 km</t>
  </si>
  <si>
    <t>41 a 50 km</t>
  </si>
  <si>
    <t>51 a 60 km</t>
  </si>
  <si>
    <t>61 a 70 km</t>
  </si>
  <si>
    <t>91 a 100 km</t>
  </si>
  <si>
    <t>101 a 110 km</t>
  </si>
  <si>
    <t>111 a 120 km</t>
  </si>
  <si>
    <t xml:space="preserve">121 a 130 km </t>
  </si>
  <si>
    <t>131 a 140 km</t>
  </si>
  <si>
    <t>141 a 150 km</t>
  </si>
  <si>
    <t>LUBRIFICANTES        CONSUMO:</t>
  </si>
  <si>
    <t>MANUTENÇÃO         CONSUMO:</t>
  </si>
  <si>
    <t>ORE 1 (4X4)</t>
  </si>
  <si>
    <t>ANOS</t>
  </si>
  <si>
    <t>ORE 1</t>
  </si>
  <si>
    <t>PAVIMENTADO</t>
  </si>
  <si>
    <t>NÃO PAVIMENTADO</t>
  </si>
  <si>
    <t>ORE 2</t>
  </si>
  <si>
    <t>ORE 3</t>
  </si>
  <si>
    <t>71 a 80 km</t>
  </si>
  <si>
    <t>81 a 90 km</t>
  </si>
  <si>
    <t>REGIONAL - PORTO VELHO</t>
  </si>
  <si>
    <t>10 anos</t>
  </si>
  <si>
    <t>ATA DE REGISTRO DE PREÇOS - FNDE</t>
  </si>
  <si>
    <t xml:space="preserve">VALOR DO VEÍCULO </t>
  </si>
  <si>
    <t>ÔNIBUS RURAL ESCOLAR - ORE 1 - com Dispositivo do tipo Poltrona Móvel, para embarque e desembarque de estudante com deficiência</t>
  </si>
  <si>
    <t>nº7/2018</t>
  </si>
  <si>
    <t>Volksbus 8160 ODR</t>
  </si>
  <si>
    <t xml:space="preserve"> 215/75R 17,5</t>
  </si>
  <si>
    <t>ÔNIBUS RURAL ESCOLAR - ORE 1 (4X4) - - com Dispositivo do tipo Poltrona Móvel, para embarque e desembarque de estudante com deficiência</t>
  </si>
  <si>
    <t>nº8/2018</t>
  </si>
  <si>
    <t>Volare V8L</t>
  </si>
  <si>
    <t xml:space="preserve"> 215/75R 17,6</t>
  </si>
  <si>
    <t>ÔNIBUS RURAL ESCOLAR - ORE 2 - com Dispositivo do tipo Poltrona Móvel, para embarque e desembarque de estudante com deficiência</t>
  </si>
  <si>
    <t>nº11/2018</t>
  </si>
  <si>
    <t>LO916</t>
  </si>
  <si>
    <t xml:space="preserve"> 215/75R x 17,5 </t>
  </si>
  <si>
    <t>2,60 KM/L</t>
  </si>
  <si>
    <t>ÔNIBUS RURAL ESCOLAR - ORE 3 - com Dispositivo do tipo Poltrona Móvel, para embarque e desembarque de estudante com deficiência</t>
  </si>
  <si>
    <t>Volksbus 15.190 ODR</t>
  </si>
  <si>
    <t xml:space="preserve">2) As Atas 11/2018, 7/108 e 8/2018 do FNDE para Registro de Preços de Ônibus Rural Escolar foram utilizadas para compor os preços dos veículos. </t>
  </si>
  <si>
    <t>3) Conforme Portaria nº12/GAB/SUPEL de 05/03/2013, para compor o preço médio do pneu foram consideradas cotações junto ao Banco de Preços e aos sites de domínio amplo.</t>
  </si>
  <si>
    <t xml:space="preserve">4) As especificações dos pneus encontram-se na descrição dos modelos de veículos registrados nas Atas de Preços do FNDE. </t>
  </si>
  <si>
    <t xml:space="preserve">5) Na estimação do valor do consumo de km/litro, foi utilizado o valor similar encontrado no CadTerc Vol. 4, referente à prestação de serviços de transporte de funcionários sob regime de fretamento contínuo (maio/2017). Segue em anexo essa estimação bem como sua fonte.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</si>
</sst>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R$&quot;#,##0.00;\-&quot;R$&quot;#,##0.00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0.0000"/>
    <numFmt numFmtId="167" formatCode="_-* #,##0_-;\-* #,##0_-;_-* &quot;-&quot;??_-;_-@_-"/>
    <numFmt numFmtId="168" formatCode="0.000%"/>
    <numFmt numFmtId="169" formatCode="_-* #,##0.000000_-;\-* #,##0.000000_-;_-* &quot;-&quot;??_-;_-@_-"/>
    <numFmt numFmtId="170" formatCode="0.0000%"/>
    <numFmt numFmtId="171" formatCode="&quot;R$&quot;#,##0.00"/>
    <numFmt numFmtId="172" formatCode="#,##0.000000"/>
    <numFmt numFmtId="173" formatCode="&quot;R$&quot;\ #,##0.00;\-&quot;R$&quot;\ #,##0.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1"/>
      <color theme="6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4" fillId="0" borderId="0" xfId="0" applyFont="1"/>
    <xf numFmtId="0" fontId="0" fillId="0" borderId="0" xfId="0" applyAlignment="1"/>
    <xf numFmtId="165" fontId="0" fillId="0" borderId="0" xfId="0" applyNumberFormat="1" applyBorder="1" applyAlignment="1"/>
    <xf numFmtId="0" fontId="3" fillId="0" borderId="0" xfId="0" applyFont="1" applyAlignment="1">
      <alignment horizontal="left"/>
    </xf>
    <xf numFmtId="0" fontId="0" fillId="0" borderId="0" xfId="0" applyBorder="1"/>
    <xf numFmtId="0" fontId="11" fillId="0" borderId="0" xfId="0" applyFont="1" applyAlignment="1">
      <alignment horizontal="justify" vertical="justify"/>
    </xf>
    <xf numFmtId="0" fontId="13" fillId="0" borderId="0" xfId="0" applyFont="1" applyAlignment="1">
      <alignment horizontal="justify" vertical="justify"/>
    </xf>
    <xf numFmtId="0" fontId="13" fillId="0" borderId="0" xfId="0" applyFont="1" applyBorder="1" applyAlignment="1">
      <alignment horizontal="justify" vertical="justify"/>
    </xf>
    <xf numFmtId="0" fontId="12" fillId="0" borderId="8" xfId="0" applyFont="1" applyBorder="1" applyAlignment="1">
      <alignment horizontal="justify" vertical="justify"/>
    </xf>
    <xf numFmtId="0" fontId="13" fillId="0" borderId="9" xfId="0" applyFont="1" applyBorder="1" applyAlignment="1">
      <alignment horizontal="right" vertical="justify"/>
    </xf>
    <xf numFmtId="0" fontId="13" fillId="0" borderId="10" xfId="0" applyFont="1" applyBorder="1" applyAlignment="1">
      <alignment horizontal="justify" vertical="justify"/>
    </xf>
    <xf numFmtId="0" fontId="12" fillId="2" borderId="11" xfId="0" applyFont="1" applyFill="1" applyBorder="1" applyAlignment="1">
      <alignment horizontal="right" vertical="justify"/>
    </xf>
    <xf numFmtId="0" fontId="14" fillId="0" borderId="0" xfId="0" applyFont="1" applyAlignment="1">
      <alignment horizontal="justify" vertical="justify"/>
    </xf>
    <xf numFmtId="0" fontId="12" fillId="0" borderId="10" xfId="0" applyFont="1" applyBorder="1" applyAlignment="1">
      <alignment horizontal="justify" vertical="justify"/>
    </xf>
    <xf numFmtId="0" fontId="12" fillId="0" borderId="11" xfId="0" applyFont="1" applyBorder="1" applyAlignment="1">
      <alignment horizontal="right" vertical="justify"/>
    </xf>
    <xf numFmtId="0" fontId="13" fillId="0" borderId="10" xfId="0" applyFont="1" applyBorder="1" applyAlignment="1">
      <alignment horizontal="justify" vertical="justify" wrapText="1"/>
    </xf>
    <xf numFmtId="0" fontId="15" fillId="0" borderId="11" xfId="0" applyFont="1" applyBorder="1" applyAlignment="1">
      <alignment horizontal="center" vertical="justify" wrapText="1"/>
    </xf>
    <xf numFmtId="164" fontId="15" fillId="0" borderId="11" xfId="2" applyFont="1" applyBorder="1" applyAlignment="1">
      <alignment horizontal="right" vertical="justify"/>
    </xf>
    <xf numFmtId="164" fontId="15" fillId="0" borderId="0" xfId="2" applyFont="1" applyBorder="1" applyAlignment="1">
      <alignment horizontal="justify" vertical="justify"/>
    </xf>
    <xf numFmtId="0" fontId="12" fillId="0" borderId="12" xfId="0" applyFont="1" applyFill="1" applyBorder="1" applyAlignment="1">
      <alignment horizontal="justify" vertical="justify" wrapText="1"/>
    </xf>
    <xf numFmtId="164" fontId="12" fillId="2" borderId="13" xfId="2" applyFont="1" applyFill="1" applyBorder="1" applyAlignment="1">
      <alignment horizontal="right" vertical="justify"/>
    </xf>
    <xf numFmtId="0" fontId="12" fillId="0" borderId="14" xfId="0" applyFont="1" applyBorder="1" applyAlignment="1">
      <alignment horizontal="justify" vertical="justify"/>
    </xf>
    <xf numFmtId="0" fontId="13" fillId="0" borderId="15" xfId="0" applyFont="1" applyBorder="1" applyAlignment="1">
      <alignment horizontal="justify" vertical="justify"/>
    </xf>
    <xf numFmtId="0" fontId="13" fillId="0" borderId="16" xfId="0" applyFont="1" applyBorder="1" applyAlignment="1">
      <alignment horizontal="justify" vertical="justify"/>
    </xf>
    <xf numFmtId="0" fontId="12" fillId="0" borderId="17" xfId="0" applyFont="1" applyBorder="1" applyAlignment="1">
      <alignment horizontal="justify" vertical="justify"/>
    </xf>
    <xf numFmtId="0" fontId="12" fillId="0" borderId="18" xfId="0" applyFont="1" applyBorder="1" applyAlignment="1">
      <alignment horizontal="justify" vertical="justify"/>
    </xf>
    <xf numFmtId="0" fontId="12" fillId="0" borderId="19" xfId="0" applyFont="1" applyBorder="1" applyAlignment="1">
      <alignment horizontal="justify" vertical="justify" wrapText="1"/>
    </xf>
    <xf numFmtId="0" fontId="13" fillId="0" borderId="20" xfId="0" applyFont="1" applyBorder="1" applyAlignment="1">
      <alignment horizontal="justify" vertical="justify"/>
    </xf>
    <xf numFmtId="164" fontId="13" fillId="2" borderId="21" xfId="0" applyNumberFormat="1" applyFont="1" applyFill="1" applyBorder="1" applyAlignment="1">
      <alignment horizontal="justify" vertical="justify"/>
    </xf>
    <xf numFmtId="10" fontId="16" fillId="0" borderId="22" xfId="4" applyNumberFormat="1" applyFont="1" applyBorder="1" applyAlignment="1">
      <alignment horizontal="justify" vertical="justify"/>
    </xf>
    <xf numFmtId="0" fontId="12" fillId="0" borderId="23" xfId="0" applyFont="1" applyBorder="1" applyAlignment="1">
      <alignment horizontal="justify" vertical="justify"/>
    </xf>
    <xf numFmtId="164" fontId="12" fillId="2" borderId="24" xfId="0" applyNumberFormat="1" applyFont="1" applyFill="1" applyBorder="1" applyAlignment="1">
      <alignment horizontal="justify" vertical="justify"/>
    </xf>
    <xf numFmtId="10" fontId="12" fillId="2" borderId="25" xfId="3" applyNumberFormat="1" applyFont="1" applyFill="1" applyBorder="1" applyAlignment="1">
      <alignment horizontal="justify" vertical="justify"/>
    </xf>
    <xf numFmtId="166" fontId="13" fillId="0" borderId="0" xfId="0" applyNumberFormat="1" applyFont="1" applyAlignment="1">
      <alignment horizontal="justify" vertical="justify"/>
    </xf>
    <xf numFmtId="10" fontId="11" fillId="0" borderId="0" xfId="3" applyNumberFormat="1" applyFont="1" applyAlignment="1">
      <alignment horizontal="justify" vertical="justify"/>
    </xf>
    <xf numFmtId="0" fontId="13" fillId="0" borderId="26" xfId="0" applyFont="1" applyBorder="1" applyAlignment="1">
      <alignment horizontal="justify" vertical="justify"/>
    </xf>
    <xf numFmtId="164" fontId="13" fillId="2" borderId="27" xfId="0" applyNumberFormat="1" applyFont="1" applyFill="1" applyBorder="1" applyAlignment="1">
      <alignment horizontal="justify" vertical="justify"/>
    </xf>
    <xf numFmtId="10" fontId="16" fillId="0" borderId="28" xfId="4" applyNumberFormat="1" applyFont="1" applyBorder="1" applyAlignment="1">
      <alignment horizontal="justify" vertical="justify"/>
    </xf>
    <xf numFmtId="0" fontId="12" fillId="0" borderId="29" xfId="0" applyFont="1" applyBorder="1" applyAlignment="1">
      <alignment horizontal="justify" vertical="justify"/>
    </xf>
    <xf numFmtId="164" fontId="12" fillId="2" borderId="30" xfId="0" applyNumberFormat="1" applyFont="1" applyFill="1" applyBorder="1" applyAlignment="1">
      <alignment horizontal="justify" vertical="justify"/>
    </xf>
    <xf numFmtId="10" fontId="12" fillId="2" borderId="31" xfId="3" applyNumberFormat="1" applyFont="1" applyFill="1" applyBorder="1" applyAlignment="1">
      <alignment horizontal="justify" vertical="justify"/>
    </xf>
    <xf numFmtId="0" fontId="13" fillId="0" borderId="32" xfId="0" applyFont="1" applyBorder="1" applyAlignment="1">
      <alignment horizontal="justify" vertical="justify"/>
    </xf>
    <xf numFmtId="164" fontId="13" fillId="2" borderId="33" xfId="0" applyNumberFormat="1" applyFont="1" applyFill="1" applyBorder="1" applyAlignment="1">
      <alignment horizontal="justify" vertical="justify"/>
    </xf>
    <xf numFmtId="10" fontId="16" fillId="0" borderId="34" xfId="4" applyNumberFormat="1" applyFont="1" applyBorder="1" applyAlignment="1">
      <alignment horizontal="justify" vertical="justify"/>
    </xf>
    <xf numFmtId="0" fontId="12" fillId="0" borderId="35" xfId="0" applyFont="1" applyBorder="1" applyAlignment="1">
      <alignment horizontal="justify" vertical="justify"/>
    </xf>
    <xf numFmtId="164" fontId="12" fillId="2" borderId="7" xfId="0" applyNumberFormat="1" applyFont="1" applyFill="1" applyBorder="1" applyAlignment="1">
      <alignment horizontal="justify" vertical="justify"/>
    </xf>
    <xf numFmtId="10" fontId="12" fillId="2" borderId="36" xfId="3" applyNumberFormat="1" applyFont="1" applyFill="1" applyBorder="1" applyAlignment="1">
      <alignment horizontal="justify" vertical="justify"/>
    </xf>
    <xf numFmtId="0" fontId="13" fillId="0" borderId="37" xfId="0" applyFont="1" applyBorder="1" applyAlignment="1">
      <alignment horizontal="justify" vertical="justify"/>
    </xf>
    <xf numFmtId="164" fontId="13" fillId="2" borderId="1" xfId="0" applyNumberFormat="1" applyFont="1" applyFill="1" applyBorder="1" applyAlignment="1">
      <alignment horizontal="justify" vertical="justify"/>
    </xf>
    <xf numFmtId="10" fontId="16" fillId="0" borderId="38" xfId="4" applyNumberFormat="1" applyFont="1" applyBorder="1" applyAlignment="1">
      <alignment horizontal="justify" vertical="justify"/>
    </xf>
    <xf numFmtId="0" fontId="12" fillId="0" borderId="39" xfId="0" applyFont="1" applyBorder="1" applyAlignment="1">
      <alignment horizontal="justify" vertical="justify"/>
    </xf>
    <xf numFmtId="164" fontId="12" fillId="2" borderId="40" xfId="0" applyNumberFormat="1" applyFont="1" applyFill="1" applyBorder="1" applyAlignment="1">
      <alignment horizontal="justify" vertical="justify"/>
    </xf>
    <xf numFmtId="10" fontId="12" fillId="2" borderId="41" xfId="3" applyNumberFormat="1" applyFont="1" applyFill="1" applyBorder="1" applyAlignment="1">
      <alignment horizontal="justify" vertical="justify"/>
    </xf>
    <xf numFmtId="0" fontId="12" fillId="0" borderId="29" xfId="0" applyFont="1" applyFill="1" applyBorder="1" applyAlignment="1">
      <alignment horizontal="justify" vertical="justify"/>
    </xf>
    <xf numFmtId="164" fontId="13" fillId="0" borderId="0" xfId="0" applyNumberFormat="1" applyFont="1" applyAlignment="1">
      <alignment horizontal="justify" vertical="justify"/>
    </xf>
    <xf numFmtId="0" fontId="12" fillId="0" borderId="18" xfId="0" applyFont="1" applyBorder="1" applyAlignment="1">
      <alignment horizontal="justify" vertical="justify" wrapText="1"/>
    </xf>
    <xf numFmtId="0" fontId="12" fillId="0" borderId="19" xfId="0" applyFont="1" applyBorder="1" applyAlignment="1">
      <alignment horizontal="justify" vertical="justify"/>
    </xf>
    <xf numFmtId="0" fontId="16" fillId="0" borderId="20" xfId="4" applyFont="1" applyBorder="1" applyAlignment="1">
      <alignment horizontal="justify" vertical="justify"/>
    </xf>
    <xf numFmtId="167" fontId="17" fillId="3" borderId="21" xfId="1" applyNumberFormat="1" applyFont="1" applyFill="1" applyBorder="1" applyAlignment="1">
      <alignment horizontal="justify" vertical="justify"/>
    </xf>
    <xf numFmtId="164" fontId="17" fillId="3" borderId="22" xfId="2" applyFont="1" applyFill="1" applyBorder="1" applyAlignment="1">
      <alignment horizontal="justify" vertical="justify"/>
    </xf>
    <xf numFmtId="10" fontId="12" fillId="2" borderId="24" xfId="3" applyNumberFormat="1" applyFont="1" applyFill="1" applyBorder="1" applyAlignment="1">
      <alignment horizontal="justify" vertical="justify"/>
    </xf>
    <xf numFmtId="0" fontId="13" fillId="0" borderId="25" xfId="0" applyFont="1" applyBorder="1" applyAlignment="1">
      <alignment horizontal="justify" vertical="justify"/>
    </xf>
    <xf numFmtId="164" fontId="12" fillId="2" borderId="31" xfId="0" applyNumberFormat="1" applyFont="1" applyFill="1" applyBorder="1" applyAlignment="1">
      <alignment horizontal="justify" vertical="justify"/>
    </xf>
    <xf numFmtId="0" fontId="12" fillId="0" borderId="42" xfId="0" applyFont="1" applyBorder="1" applyAlignment="1">
      <alignment horizontal="justify" vertical="justify" wrapText="1"/>
    </xf>
    <xf numFmtId="164" fontId="12" fillId="2" borderId="43" xfId="2" applyFont="1" applyFill="1" applyBorder="1" applyAlignment="1">
      <alignment horizontal="justify" vertical="justify"/>
    </xf>
    <xf numFmtId="0" fontId="13" fillId="0" borderId="9" xfId="0" applyFont="1" applyBorder="1" applyAlignment="1">
      <alignment horizontal="justify" vertical="justify"/>
    </xf>
    <xf numFmtId="43" fontId="13" fillId="0" borderId="0" xfId="1" applyFont="1" applyAlignment="1">
      <alignment horizontal="justify" vertical="justify"/>
    </xf>
    <xf numFmtId="0" fontId="13" fillId="2" borderId="11" xfId="0" applyFont="1" applyFill="1" applyBorder="1" applyAlignment="1">
      <alignment horizontal="justify" vertical="justify"/>
    </xf>
    <xf numFmtId="0" fontId="12" fillId="0" borderId="11" xfId="0" applyFont="1" applyBorder="1" applyAlignment="1">
      <alignment horizontal="justify" vertical="justify"/>
    </xf>
    <xf numFmtId="164" fontId="15" fillId="3" borderId="11" xfId="2" applyFont="1" applyFill="1" applyBorder="1" applyAlignment="1">
      <alignment horizontal="justify" vertical="justify"/>
    </xf>
    <xf numFmtId="164" fontId="12" fillId="2" borderId="13" xfId="2" applyFont="1" applyFill="1" applyBorder="1" applyAlignment="1">
      <alignment horizontal="justify" vertical="justify"/>
    </xf>
    <xf numFmtId="167" fontId="17" fillId="0" borderId="21" xfId="1" applyNumberFormat="1" applyFont="1" applyBorder="1" applyAlignment="1">
      <alignment horizontal="justify" vertical="justify"/>
    </xf>
    <xf numFmtId="164" fontId="17" fillId="0" borderId="22" xfId="2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20" fillId="0" borderId="0" xfId="0" applyFont="1" applyAlignment="1">
      <alignment vertical="top"/>
    </xf>
    <xf numFmtId="0" fontId="19" fillId="0" borderId="14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19" fillId="0" borderId="44" xfId="0" applyFont="1" applyBorder="1" applyAlignment="1">
      <alignment vertical="top"/>
    </xf>
    <xf numFmtId="0" fontId="19" fillId="0" borderId="45" xfId="0" applyFont="1" applyBorder="1" applyAlignment="1">
      <alignment vertical="top"/>
    </xf>
    <xf numFmtId="0" fontId="19" fillId="0" borderId="46" xfId="0" applyFont="1" applyBorder="1" applyAlignment="1">
      <alignment vertical="top" wrapText="1"/>
    </xf>
    <xf numFmtId="0" fontId="20" fillId="0" borderId="20" xfId="0" applyFont="1" applyBorder="1" applyAlignment="1">
      <alignment vertical="top"/>
    </xf>
    <xf numFmtId="0" fontId="20" fillId="0" borderId="21" xfId="0" applyFont="1" applyBorder="1" applyAlignment="1">
      <alignment vertical="top"/>
    </xf>
    <xf numFmtId="10" fontId="21" fillId="0" borderId="22" xfId="4" applyNumberFormat="1" applyFont="1" applyBorder="1" applyAlignment="1">
      <alignment vertical="top"/>
    </xf>
    <xf numFmtId="0" fontId="19" fillId="0" borderId="23" xfId="0" applyFont="1" applyBorder="1" applyAlignment="1">
      <alignment vertical="top"/>
    </xf>
    <xf numFmtId="164" fontId="19" fillId="0" borderId="24" xfId="0" applyNumberFormat="1" applyFont="1" applyBorder="1" applyAlignment="1">
      <alignment vertical="top"/>
    </xf>
    <xf numFmtId="10" fontId="19" fillId="0" borderId="25" xfId="3" applyNumberFormat="1" applyFont="1" applyBorder="1" applyAlignment="1">
      <alignment vertical="top"/>
    </xf>
    <xf numFmtId="164" fontId="20" fillId="0" borderId="21" xfId="0" applyNumberFormat="1" applyFont="1" applyBorder="1" applyAlignment="1">
      <alignment vertical="top" wrapText="1"/>
    </xf>
    <xf numFmtId="0" fontId="20" fillId="0" borderId="21" xfId="0" applyNumberFormat="1" applyFont="1" applyBorder="1" applyAlignment="1">
      <alignment vertical="top" wrapText="1"/>
    </xf>
    <xf numFmtId="168" fontId="20" fillId="0" borderId="0" xfId="3" applyNumberFormat="1" applyFont="1" applyAlignment="1">
      <alignment vertical="top"/>
    </xf>
    <xf numFmtId="169" fontId="20" fillId="0" borderId="0" xfId="1" applyNumberFormat="1" applyFont="1" applyAlignment="1">
      <alignment vertical="top"/>
    </xf>
    <xf numFmtId="0" fontId="20" fillId="0" borderId="20" xfId="0" applyFont="1" applyFill="1" applyBorder="1" applyAlignment="1">
      <alignment vertical="top"/>
    </xf>
    <xf numFmtId="10" fontId="21" fillId="0" borderId="22" xfId="4" applyNumberFormat="1" applyFont="1" applyFill="1" applyBorder="1" applyAlignment="1">
      <alignment vertical="top"/>
    </xf>
    <xf numFmtId="170" fontId="20" fillId="0" borderId="0" xfId="3" applyNumberFormat="1" applyFont="1" applyAlignment="1">
      <alignment vertical="top"/>
    </xf>
    <xf numFmtId="0" fontId="20" fillId="0" borderId="23" xfId="0" applyFont="1" applyBorder="1" applyAlignment="1">
      <alignment vertical="top" wrapText="1"/>
    </xf>
    <xf numFmtId="0" fontId="20" fillId="0" borderId="24" xfId="0" applyNumberFormat="1" applyFont="1" applyBorder="1" applyAlignment="1">
      <alignment vertical="top" wrapText="1"/>
    </xf>
    <xf numFmtId="10" fontId="21" fillId="0" borderId="25" xfId="4" applyNumberFormat="1" applyFont="1" applyBorder="1" applyAlignment="1">
      <alignment vertical="top"/>
    </xf>
    <xf numFmtId="0" fontId="19" fillId="0" borderId="0" xfId="0" applyFont="1" applyFill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10" fontId="19" fillId="0" borderId="0" xfId="3" applyNumberFormat="1" applyFont="1" applyBorder="1" applyAlignment="1">
      <alignment vertical="top"/>
    </xf>
    <xf numFmtId="0" fontId="23" fillId="0" borderId="0" xfId="5" applyFont="1" applyAlignment="1" applyProtection="1">
      <alignment vertical="top"/>
    </xf>
    <xf numFmtId="14" fontId="15" fillId="0" borderId="11" xfId="0" applyNumberFormat="1" applyFont="1" applyBorder="1" applyAlignment="1">
      <alignment horizontal="center" vertical="justify" wrapText="1"/>
    </xf>
    <xf numFmtId="0" fontId="0" fillId="0" borderId="0" xfId="0" applyAlignment="1">
      <alignment vertical="top"/>
    </xf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1" fillId="7" borderId="0" xfId="0" applyFont="1" applyFill="1" applyAlignme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left"/>
    </xf>
    <xf numFmtId="0" fontId="25" fillId="7" borderId="0" xfId="0" applyFont="1" applyFill="1"/>
    <xf numFmtId="0" fontId="2" fillId="7" borderId="0" xfId="0" applyFont="1" applyFill="1" applyAlignment="1"/>
    <xf numFmtId="0" fontId="0" fillId="7" borderId="0" xfId="0" applyFill="1" applyAlignment="1"/>
    <xf numFmtId="3" fontId="1" fillId="7" borderId="0" xfId="0" applyNumberFormat="1" applyFont="1" applyFill="1" applyAlignment="1">
      <alignment horizontal="right"/>
    </xf>
    <xf numFmtId="0" fontId="2" fillId="0" borderId="0" xfId="0" applyFont="1"/>
    <xf numFmtId="0" fontId="1" fillId="7" borderId="0" xfId="0" applyFont="1" applyFill="1" applyAlignment="1">
      <alignment horizontal="right"/>
    </xf>
    <xf numFmtId="3" fontId="1" fillId="7" borderId="0" xfId="0" applyNumberFormat="1" applyFont="1" applyFill="1"/>
    <xf numFmtId="165" fontId="1" fillId="7" borderId="0" xfId="0" applyNumberFormat="1" applyFont="1" applyFill="1" applyAlignment="1">
      <alignment horizontal="right"/>
    </xf>
    <xf numFmtId="0" fontId="0" fillId="0" borderId="47" xfId="0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30" fillId="0" borderId="0" xfId="0" applyFont="1"/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Border="1"/>
    <xf numFmtId="0" fontId="29" fillId="0" borderId="0" xfId="0" applyFont="1" applyBorder="1" applyAlignment="1">
      <alignment horizontal="left" vertical="top" wrapText="1"/>
    </xf>
    <xf numFmtId="0" fontId="30" fillId="0" borderId="0" xfId="0" applyFont="1" applyFill="1"/>
    <xf numFmtId="0" fontId="30" fillId="8" borderId="0" xfId="0" applyFont="1" applyFill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5" fontId="1" fillId="7" borderId="0" xfId="0" applyNumberFormat="1" applyFont="1" applyFill="1"/>
    <xf numFmtId="0" fontId="0" fillId="0" borderId="0" xfId="0" applyFill="1" applyBorder="1"/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/>
    <xf numFmtId="0" fontId="0" fillId="0" borderId="0" xfId="0" applyFill="1" applyBorder="1" applyAlignment="1"/>
    <xf numFmtId="0" fontId="4" fillId="10" borderId="1" xfId="0" applyFont="1" applyFill="1" applyBorder="1"/>
    <xf numFmtId="0" fontId="0" fillId="10" borderId="1" xfId="0" applyFill="1" applyBorder="1"/>
    <xf numFmtId="164" fontId="13" fillId="0" borderId="21" xfId="0" applyNumberFormat="1" applyFont="1" applyFill="1" applyBorder="1" applyAlignment="1">
      <alignment horizontal="justify" vertical="justify"/>
    </xf>
    <xf numFmtId="167" fontId="17" fillId="0" borderId="21" xfId="1" applyNumberFormat="1" applyFont="1" applyFill="1" applyBorder="1" applyAlignment="1">
      <alignment horizontal="justify" vertical="justify"/>
    </xf>
    <xf numFmtId="164" fontId="17" fillId="0" borderId="22" xfId="2" applyFont="1" applyFill="1" applyBorder="1" applyAlignment="1">
      <alignment horizontal="justify" vertical="justify"/>
    </xf>
    <xf numFmtId="0" fontId="7" fillId="0" borderId="0" xfId="4"/>
    <xf numFmtId="171" fontId="0" fillId="0" borderId="0" xfId="0" applyNumberFormat="1"/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37" fillId="0" borderId="1" xfId="4" applyFont="1" applyBorder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0" xfId="0" applyFont="1"/>
    <xf numFmtId="165" fontId="5" fillId="0" borderId="1" xfId="0" applyNumberFormat="1" applyFont="1" applyBorder="1" applyAlignment="1"/>
    <xf numFmtId="165" fontId="3" fillId="4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/>
    <xf numFmtId="0" fontId="3" fillId="4" borderId="1" xfId="0" applyFont="1" applyFill="1" applyBorder="1"/>
    <xf numFmtId="0" fontId="40" fillId="10" borderId="0" xfId="0" applyFont="1" applyFill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vertical="center"/>
    </xf>
    <xf numFmtId="171" fontId="5" fillId="0" borderId="1" xfId="0" applyNumberFormat="1" applyFont="1" applyBorder="1" applyAlignment="1"/>
    <xf numFmtId="171" fontId="5" fillId="0" borderId="1" xfId="0" applyNumberFormat="1" applyFont="1" applyBorder="1"/>
    <xf numFmtId="171" fontId="5" fillId="0" borderId="1" xfId="0" applyNumberFormat="1" applyFont="1" applyBorder="1" applyAlignment="1">
      <alignment horizontal="center"/>
    </xf>
    <xf numFmtId="171" fontId="5" fillId="0" borderId="48" xfId="0" applyNumberFormat="1" applyFont="1" applyBorder="1"/>
    <xf numFmtId="10" fontId="5" fillId="0" borderId="1" xfId="0" applyNumberFormat="1" applyFont="1" applyBorder="1"/>
    <xf numFmtId="0" fontId="5" fillId="4" borderId="1" xfId="0" applyFont="1" applyFill="1" applyBorder="1"/>
    <xf numFmtId="10" fontId="5" fillId="0" borderId="7" xfId="0" applyNumberFormat="1" applyFont="1" applyBorder="1" applyAlignment="1"/>
    <xf numFmtId="165" fontId="5" fillId="0" borderId="1" xfId="0" applyNumberFormat="1" applyFont="1" applyBorder="1"/>
    <xf numFmtId="165" fontId="2" fillId="5" borderId="0" xfId="0" applyNumberFormat="1" applyFont="1" applyFill="1"/>
    <xf numFmtId="0" fontId="2" fillId="5" borderId="0" xfId="0" applyFont="1" applyFill="1"/>
    <xf numFmtId="165" fontId="2" fillId="4" borderId="1" xfId="0" applyNumberFormat="1" applyFont="1" applyFill="1" applyBorder="1"/>
    <xf numFmtId="171" fontId="2" fillId="4" borderId="1" xfId="0" applyNumberFormat="1" applyFont="1" applyFill="1" applyBorder="1"/>
    <xf numFmtId="171" fontId="2" fillId="12" borderId="1" xfId="0" applyNumberFormat="1" applyFont="1" applyFill="1" applyBorder="1"/>
    <xf numFmtId="7" fontId="2" fillId="4" borderId="4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1" fillId="0" borderId="7" xfId="0" applyFont="1" applyBorder="1" applyAlignment="1">
      <alignment vertical="center"/>
    </xf>
    <xf numFmtId="171" fontId="1" fillId="7" borderId="0" xfId="0" applyNumberFormat="1" applyFont="1" applyFill="1"/>
    <xf numFmtId="172" fontId="5" fillId="0" borderId="1" xfId="0" applyNumberFormat="1" applyFont="1" applyBorder="1"/>
    <xf numFmtId="4" fontId="2" fillId="5" borderId="0" xfId="0" applyNumberFormat="1" applyFont="1" applyFill="1"/>
    <xf numFmtId="0" fontId="1" fillId="1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71" fontId="5" fillId="0" borderId="1" xfId="0" applyNumberFormat="1" applyFont="1" applyFill="1" applyBorder="1"/>
    <xf numFmtId="171" fontId="5" fillId="0" borderId="48" xfId="0" applyNumberFormat="1" applyFont="1" applyFill="1" applyBorder="1"/>
    <xf numFmtId="171" fontId="5" fillId="0" borderId="4" xfId="0" applyNumberFormat="1" applyFont="1" applyFill="1" applyBorder="1"/>
    <xf numFmtId="0" fontId="3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protection hidden="1"/>
    </xf>
    <xf numFmtId="4" fontId="35" fillId="0" borderId="0" xfId="0" applyNumberFormat="1" applyFont="1" applyFill="1" applyBorder="1"/>
    <xf numFmtId="0" fontId="34" fillId="0" borderId="0" xfId="0" applyFont="1" applyFill="1" applyBorder="1" applyAlignment="1" applyProtection="1">
      <alignment horizontal="center"/>
      <protection hidden="1"/>
    </xf>
    <xf numFmtId="0" fontId="34" fillId="0" borderId="0" xfId="0" quotePrefix="1" applyFont="1" applyFill="1" applyBorder="1" applyProtection="1">
      <protection hidden="1"/>
    </xf>
    <xf numFmtId="43" fontId="34" fillId="0" borderId="0" xfId="1" applyFont="1" applyFill="1" applyBorder="1" applyProtection="1">
      <protection hidden="1"/>
    </xf>
    <xf numFmtId="0" fontId="29" fillId="0" borderId="0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/>
    </xf>
    <xf numFmtId="173" fontId="42" fillId="3" borderId="1" xfId="0" applyNumberFormat="1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17" fontId="30" fillId="3" borderId="1" xfId="0" applyNumberFormat="1" applyFont="1" applyFill="1" applyBorder="1" applyAlignment="1">
      <alignment horizontal="center" vertical="center"/>
    </xf>
    <xf numFmtId="0" fontId="31" fillId="3" borderId="0" xfId="0" applyFont="1" applyFill="1" applyBorder="1"/>
    <xf numFmtId="0" fontId="30" fillId="3" borderId="0" xfId="0" applyFont="1" applyFill="1"/>
    <xf numFmtId="0" fontId="29" fillId="3" borderId="0" xfId="0" applyFont="1" applyFill="1"/>
    <xf numFmtId="0" fontId="16" fillId="0" borderId="26" xfId="4" applyFont="1" applyFill="1" applyBorder="1" applyAlignment="1">
      <alignment horizontal="justify" vertical="justify"/>
    </xf>
    <xf numFmtId="164" fontId="13" fillId="0" borderId="27" xfId="0" applyNumberFormat="1" applyFont="1" applyFill="1" applyBorder="1" applyAlignment="1">
      <alignment horizontal="justify" vertical="justify"/>
    </xf>
    <xf numFmtId="167" fontId="17" fillId="0" borderId="27" xfId="1" applyNumberFormat="1" applyFont="1" applyFill="1" applyBorder="1" applyAlignment="1">
      <alignment horizontal="justify" vertical="justify"/>
    </xf>
    <xf numFmtId="164" fontId="17" fillId="0" borderId="28" xfId="2" applyFont="1" applyFill="1" applyBorder="1" applyAlignment="1">
      <alignment horizontal="justify" vertical="justify"/>
    </xf>
    <xf numFmtId="0" fontId="24" fillId="11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0" xfId="0" applyFont="1" applyFill="1" applyAlignment="1">
      <alignment horizontal="right"/>
    </xf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1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left"/>
    </xf>
    <xf numFmtId="10" fontId="5" fillId="0" borderId="48" xfId="0" applyNumberFormat="1" applyFont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24" fillId="5" borderId="0" xfId="0" applyFont="1" applyFill="1" applyAlignment="1">
      <alignment horizontal="center" wrapText="1"/>
    </xf>
    <xf numFmtId="0" fontId="38" fillId="2" borderId="2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0" fontId="39" fillId="2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7" fillId="0" borderId="1" xfId="4" applyFont="1" applyBorder="1" applyAlignment="1">
      <alignment vertical="center"/>
    </xf>
    <xf numFmtId="0" fontId="5" fillId="0" borderId="49" xfId="0" applyFont="1" applyFill="1" applyBorder="1" applyAlignment="1">
      <alignment horizontal="left"/>
    </xf>
    <xf numFmtId="0" fontId="0" fillId="1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13" fillId="0" borderId="10" xfId="0" applyFont="1" applyFill="1" applyBorder="1" applyAlignment="1">
      <alignment horizontal="center" vertical="justify"/>
    </xf>
    <xf numFmtId="0" fontId="13" fillId="0" borderId="0" xfId="0" applyFont="1" applyFill="1" applyAlignment="1">
      <alignment horizontal="center" vertical="justify"/>
    </xf>
    <xf numFmtId="0" fontId="19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4" fillId="0" borderId="0" xfId="0" applyFont="1" applyFill="1" applyBorder="1" applyAlignment="1" applyProtection="1">
      <alignment horizontal="center"/>
      <protection hidden="1"/>
    </xf>
    <xf numFmtId="166" fontId="34" fillId="0" borderId="0" xfId="0" applyNumberFormat="1" applyFont="1" applyFill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65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9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>
      <alignment horizontal="left" vertical="top"/>
    </xf>
    <xf numFmtId="0" fontId="29" fillId="3" borderId="0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</cellXfs>
  <cellStyles count="6">
    <cellStyle name="Hiperlink" xfId="5" builtinId="8"/>
    <cellStyle name="Moeda" xfId="2" builtinId="4"/>
    <cellStyle name="Normal" xfId="0" builtinId="0"/>
    <cellStyle name="Normal_PLANILHA%20DE%20COMPOSIÇÃO%20DE%20CUSTO%20UNITARIO%20semed%202013%20helber(1)" xfId="4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638175</xdr:colOff>
      <xdr:row>6</xdr:row>
      <xdr:rowOff>180975</xdr:rowOff>
    </xdr:to>
    <xdr:pic>
      <xdr:nvPicPr>
        <xdr:cNvPr id="2" name="Imagem 4" descr="brasao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096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7</xdr:row>
      <xdr:rowOff>19050</xdr:rowOff>
    </xdr:to>
    <xdr:pic>
      <xdr:nvPicPr>
        <xdr:cNvPr id="2" name="Imagem 4" descr="brasao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6</xdr:row>
      <xdr:rowOff>57150</xdr:rowOff>
    </xdr:to>
    <xdr:pic>
      <xdr:nvPicPr>
        <xdr:cNvPr id="2" name="Imagem 4" descr="brasao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TA&#199;&#195;O\LUCIANO\PLANILHA%20TRANSPORTE%20ESCOLAR%20ROND&#212;NIA\POLO%20-%20VILHENA\PLATAFORMA%20ORE%203%20-%20SEM%20PLATAFORMA%20-%20ok\TRANSPORTE%20COLETIVO\02%20-%20Planilha%20de%20Custo%20-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DESPESAS - PESSOAL"/>
      <sheetName val="DESPESAS - VEÍCULOS"/>
      <sheetName val="Alíquotas MPOG"/>
      <sheetName val="COMPARAÇÃO"/>
    </sheetNames>
    <sheetDataSet>
      <sheetData sheetId="0">
        <row r="33">
          <cell r="B33">
            <v>35668</v>
          </cell>
        </row>
      </sheetData>
      <sheetData sheetId="1" refreshError="1"/>
      <sheetData sheetId="2" refreshError="1"/>
      <sheetData sheetId="3">
        <row r="6">
          <cell r="C6">
            <v>0.2</v>
          </cell>
        </row>
        <row r="7">
          <cell r="C7">
            <v>1.4999999999999999E-2</v>
          </cell>
        </row>
        <row r="8">
          <cell r="C8">
            <v>0.01</v>
          </cell>
        </row>
        <row r="9">
          <cell r="C9">
            <v>2E-3</v>
          </cell>
        </row>
        <row r="10">
          <cell r="C10">
            <v>2.5000000000000001E-2</v>
          </cell>
        </row>
        <row r="11">
          <cell r="C11">
            <v>0.08</v>
          </cell>
        </row>
        <row r="12">
          <cell r="C12">
            <v>0.02</v>
          </cell>
        </row>
        <row r="13">
          <cell r="C13">
            <v>6.0000000000000001E-3</v>
          </cell>
        </row>
        <row r="17">
          <cell r="C17">
            <v>8.3299999999999999E-2</v>
          </cell>
        </row>
        <row r="18">
          <cell r="C18">
            <v>1.66E-2</v>
          </cell>
        </row>
        <row r="19">
          <cell r="C19">
            <v>2.7000000000000001E-3</v>
          </cell>
        </row>
        <row r="20">
          <cell r="C20">
            <v>2.0000000000000001E-4</v>
          </cell>
        </row>
        <row r="21">
          <cell r="C21">
            <v>2.8E-3</v>
          </cell>
        </row>
        <row r="23">
          <cell r="C23">
            <v>2.7799999999999998E-2</v>
          </cell>
        </row>
        <row r="24">
          <cell r="C24">
            <v>2.5000000000000001E-2</v>
          </cell>
        </row>
        <row r="25">
          <cell r="C25">
            <v>2.8799999999999999E-2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f.jus.br/arquivo/cms/sobrestfestudosci/anexo/encargos_sociais_03102007.pdf" TargetMode="External"/><Relationship Id="rId1" Type="http://schemas.openxmlformats.org/officeDocument/2006/relationships/hyperlink" Target="http://www.comprasnet.gov.br/publicacoes/manuais/Manual_preenchimento_planilha_de_custo_-_27-05-201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tabSelected="1" view="pageBreakPreview" zoomScale="80" zoomScaleNormal="100" zoomScaleSheetLayoutView="80" workbookViewId="0">
      <selection activeCell="I22" sqref="I22"/>
    </sheetView>
  </sheetViews>
  <sheetFormatPr defaultRowHeight="15" x14ac:dyDescent="0.25"/>
  <cols>
    <col min="2" max="2" width="14.140625" customWidth="1"/>
    <col min="5" max="5" width="10.7109375" bestFit="1" customWidth="1"/>
    <col min="7" max="7" width="12.140625" customWidth="1"/>
    <col min="9" max="9" width="7.7109375" customWidth="1"/>
    <col min="10" max="10" width="12" customWidth="1"/>
    <col min="11" max="11" width="16.42578125" bestFit="1" customWidth="1"/>
    <col min="12" max="12" width="14.5703125" customWidth="1"/>
    <col min="13" max="13" width="11" bestFit="1" customWidth="1"/>
    <col min="14" max="14" width="6.42578125" customWidth="1"/>
    <col min="15" max="15" width="9" customWidth="1"/>
    <col min="16" max="16" width="10.5703125" customWidth="1"/>
    <col min="17" max="17" width="15.140625" customWidth="1"/>
  </cols>
  <sheetData>
    <row r="2" spans="1:16" x14ac:dyDescent="0.25">
      <c r="C2" s="247" t="s">
        <v>263</v>
      </c>
      <c r="D2" s="248"/>
      <c r="E2" s="248"/>
      <c r="F2" s="248"/>
    </row>
    <row r="3" spans="1:16" x14ac:dyDescent="0.25">
      <c r="C3" s="248"/>
      <c r="D3" s="248"/>
      <c r="E3" s="248"/>
      <c r="F3" s="248"/>
      <c r="H3" s="249" t="s">
        <v>168</v>
      </c>
      <c r="I3" s="247"/>
      <c r="J3" s="247"/>
      <c r="K3" s="247"/>
      <c r="L3" s="247"/>
      <c r="M3" s="247"/>
      <c r="N3" s="247"/>
      <c r="O3" s="247"/>
      <c r="P3" s="247"/>
    </row>
    <row r="4" spans="1:16" x14ac:dyDescent="0.25">
      <c r="C4" s="248"/>
      <c r="D4" s="248"/>
      <c r="E4" s="248"/>
      <c r="F4" s="248"/>
      <c r="H4" s="247"/>
      <c r="I4" s="247"/>
      <c r="J4" s="247"/>
      <c r="K4" s="247"/>
      <c r="L4" s="247"/>
      <c r="M4" s="247"/>
      <c r="N4" s="247"/>
      <c r="O4" s="247"/>
      <c r="P4" s="247"/>
    </row>
    <row r="5" spans="1:16" x14ac:dyDescent="0.25">
      <c r="C5" s="248"/>
      <c r="D5" s="248"/>
      <c r="E5" s="248"/>
      <c r="F5" s="248"/>
      <c r="H5" s="247"/>
      <c r="I5" s="247"/>
      <c r="J5" s="247"/>
      <c r="K5" s="247"/>
      <c r="L5" s="247"/>
      <c r="M5" s="247"/>
      <c r="N5" s="247"/>
      <c r="O5" s="247"/>
      <c r="P5" s="247"/>
    </row>
    <row r="6" spans="1:16" x14ac:dyDescent="0.25">
      <c r="C6" s="248"/>
      <c r="D6" s="248"/>
      <c r="E6" s="248"/>
      <c r="F6" s="248"/>
    </row>
    <row r="7" spans="1:16" ht="21" x14ac:dyDescent="0.35">
      <c r="E7" s="121" t="s">
        <v>184</v>
      </c>
      <c r="F7" s="228" t="s">
        <v>179</v>
      </c>
      <c r="G7" s="228"/>
      <c r="H7" s="228"/>
      <c r="I7" s="134"/>
      <c r="K7" s="245" t="s">
        <v>288</v>
      </c>
      <c r="L7" s="246"/>
      <c r="M7" s="246"/>
      <c r="N7" s="246"/>
    </row>
    <row r="8" spans="1:16" ht="15.75" x14ac:dyDescent="0.25">
      <c r="B8" s="231"/>
      <c r="C8" s="231"/>
      <c r="D8" s="108"/>
      <c r="E8" s="108"/>
      <c r="F8" s="108"/>
      <c r="J8" s="109"/>
    </row>
    <row r="9" spans="1:16" ht="21" x14ac:dyDescent="0.35">
      <c r="C9" s="108"/>
      <c r="D9" s="108"/>
      <c r="E9" s="108"/>
      <c r="F9" s="108"/>
      <c r="I9" s="221" t="s">
        <v>222</v>
      </c>
      <c r="J9" s="221"/>
      <c r="K9" s="221"/>
      <c r="L9" s="221"/>
      <c r="M9" s="221"/>
      <c r="N9" s="221"/>
      <c r="O9" s="221"/>
      <c r="P9" s="221"/>
    </row>
    <row r="11" spans="1:16" ht="17.25" x14ac:dyDescent="0.3">
      <c r="A11" s="250" t="s">
        <v>262</v>
      </c>
      <c r="B11" s="251"/>
      <c r="C11" s="251"/>
      <c r="D11" s="251"/>
      <c r="E11" s="251"/>
      <c r="F11" s="252"/>
      <c r="G11" s="142" t="s">
        <v>0</v>
      </c>
      <c r="K11" s="241" t="s">
        <v>16</v>
      </c>
      <c r="L11" s="241"/>
      <c r="M11" s="241"/>
      <c r="N11" s="241"/>
      <c r="O11" s="151">
        <f>O12+O13</f>
        <v>100</v>
      </c>
      <c r="P11" s="152" t="s">
        <v>15</v>
      </c>
    </row>
    <row r="12" spans="1:16" ht="15.75" x14ac:dyDescent="0.25">
      <c r="A12" s="222" t="s">
        <v>212</v>
      </c>
      <c r="B12" s="223"/>
      <c r="C12" s="223"/>
      <c r="D12" s="153"/>
      <c r="E12" s="234">
        <f>IF($F$7=D94,F96,IF($F$7=D106,F108,IF($F$7=N94,Q96,IF($F$7=O106,P108,""))))</f>
        <v>189900</v>
      </c>
      <c r="F12" s="234"/>
      <c r="G12" s="1"/>
      <c r="K12" s="241" t="s">
        <v>245</v>
      </c>
      <c r="L12" s="241"/>
      <c r="M12" s="241"/>
      <c r="N12" s="241"/>
      <c r="O12" s="151">
        <v>40</v>
      </c>
      <c r="P12" s="152" t="s">
        <v>15</v>
      </c>
    </row>
    <row r="13" spans="1:16" ht="15.75" x14ac:dyDescent="0.25">
      <c r="A13" s="222" t="s">
        <v>185</v>
      </c>
      <c r="B13" s="223"/>
      <c r="C13" s="223"/>
      <c r="D13" s="224"/>
      <c r="E13" s="233" t="s">
        <v>289</v>
      </c>
      <c r="F13" s="233"/>
      <c r="K13" s="241" t="s">
        <v>246</v>
      </c>
      <c r="L13" s="241"/>
      <c r="M13" s="241"/>
      <c r="N13" s="241"/>
      <c r="O13" s="151">
        <v>60</v>
      </c>
      <c r="P13" s="152" t="s">
        <v>15</v>
      </c>
    </row>
    <row r="14" spans="1:16" ht="15" customHeight="1" x14ac:dyDescent="0.25">
      <c r="A14" s="222" t="s">
        <v>24</v>
      </c>
      <c r="B14" s="223"/>
      <c r="C14" s="223"/>
      <c r="D14" s="224"/>
      <c r="E14" s="255">
        <v>2018</v>
      </c>
      <c r="F14" s="256"/>
      <c r="K14" s="274" t="s">
        <v>247</v>
      </c>
      <c r="L14" s="274"/>
      <c r="M14" s="274"/>
      <c r="N14" s="274"/>
      <c r="O14" s="263">
        <f>O12*21</f>
        <v>840</v>
      </c>
      <c r="P14" s="265" t="s">
        <v>15</v>
      </c>
    </row>
    <row r="15" spans="1:16" ht="15.75" customHeight="1" x14ac:dyDescent="0.25">
      <c r="A15" s="154" t="s">
        <v>183</v>
      </c>
      <c r="B15" s="153"/>
      <c r="C15" s="153"/>
      <c r="D15" s="153"/>
      <c r="E15" s="233">
        <v>0</v>
      </c>
      <c r="F15" s="233"/>
      <c r="G15" s="143" t="s">
        <v>237</v>
      </c>
      <c r="I15" s="135"/>
      <c r="J15" s="135"/>
      <c r="K15" s="274"/>
      <c r="L15" s="274"/>
      <c r="M15" s="274"/>
      <c r="N15" s="274"/>
      <c r="O15" s="264"/>
      <c r="P15" s="265"/>
    </row>
    <row r="16" spans="1:16" ht="15" customHeight="1" x14ac:dyDescent="0.25">
      <c r="A16" s="222" t="s">
        <v>189</v>
      </c>
      <c r="B16" s="223"/>
      <c r="C16" s="223"/>
      <c r="D16" s="223"/>
      <c r="E16" s="233" t="str">
        <f>IF($F$7=$D$94,F103,IF($F$7=$D$106,F115,IF($F$7=$N$94,Q103,IF($F$7=$O$106,P115,""))))</f>
        <v>ATÉ 29 ALUNOS</v>
      </c>
      <c r="F16" s="233"/>
      <c r="I16" s="135"/>
      <c r="J16" s="135"/>
      <c r="K16" s="274" t="s">
        <v>248</v>
      </c>
      <c r="L16" s="274"/>
      <c r="M16" s="274"/>
      <c r="N16" s="274"/>
      <c r="O16" s="263">
        <f>O13*21</f>
        <v>1260</v>
      </c>
      <c r="P16" s="265" t="s">
        <v>15</v>
      </c>
    </row>
    <row r="17" spans="1:22" ht="15" customHeight="1" x14ac:dyDescent="0.35">
      <c r="I17" s="135"/>
      <c r="J17" s="135"/>
      <c r="K17" s="274"/>
      <c r="L17" s="274"/>
      <c r="M17" s="274"/>
      <c r="N17" s="274"/>
      <c r="O17" s="264"/>
      <c r="P17" s="265"/>
      <c r="T17" s="228"/>
      <c r="U17" s="228"/>
      <c r="V17" s="228"/>
    </row>
    <row r="18" spans="1:22" ht="15" customHeight="1" x14ac:dyDescent="0.25">
      <c r="I18" s="135"/>
      <c r="J18" s="135"/>
      <c r="K18" s="274" t="s">
        <v>249</v>
      </c>
      <c r="L18" s="274"/>
      <c r="M18" s="274"/>
      <c r="N18" s="274"/>
      <c r="O18" s="151">
        <f>O16+O14</f>
        <v>2100</v>
      </c>
      <c r="P18" s="152" t="s">
        <v>15</v>
      </c>
    </row>
    <row r="19" spans="1:22" ht="15.75" customHeight="1" x14ac:dyDescent="0.3">
      <c r="A19" s="260" t="s">
        <v>1</v>
      </c>
      <c r="B19" s="261"/>
      <c r="C19" s="261"/>
      <c r="D19" s="261"/>
      <c r="E19" s="261"/>
      <c r="F19" s="261"/>
      <c r="I19" s="136"/>
      <c r="J19" s="136"/>
      <c r="K19" s="136"/>
      <c r="L19" s="136"/>
      <c r="M19" s="136"/>
    </row>
    <row r="20" spans="1:22" ht="15" customHeight="1" x14ac:dyDescent="0.25">
      <c r="A20" s="241" t="s">
        <v>211</v>
      </c>
      <c r="B20" s="241"/>
      <c r="C20" s="241"/>
      <c r="D20" s="241"/>
      <c r="E20" s="241"/>
      <c r="F20" s="241"/>
      <c r="I20" s="135"/>
      <c r="J20" s="135"/>
      <c r="K20" s="135"/>
      <c r="L20" s="135"/>
      <c r="M20" s="135"/>
    </row>
    <row r="21" spans="1:22" x14ac:dyDescent="0.25">
      <c r="O21" s="104"/>
    </row>
    <row r="23" spans="1:22" ht="17.25" x14ac:dyDescent="0.3">
      <c r="A23" s="260" t="s">
        <v>2</v>
      </c>
      <c r="B23" s="261"/>
      <c r="C23" s="261"/>
      <c r="D23" s="261"/>
      <c r="E23" s="261"/>
      <c r="F23" s="261"/>
      <c r="L23" s="104"/>
    </row>
    <row r="24" spans="1:22" ht="15.75" x14ac:dyDescent="0.25">
      <c r="A24" s="222" t="s">
        <v>12</v>
      </c>
      <c r="B24" s="223"/>
      <c r="C24" s="223"/>
      <c r="D24" s="223"/>
      <c r="E24" s="233">
        <f>IF($F$7=$D$94,F99,IF($F$7=$D$106,F111,IF($F$7=$N$94,Q99,IF($F$7=$O$106,P111,""))))</f>
        <v>6</v>
      </c>
      <c r="F24" s="233"/>
    </row>
    <row r="25" spans="1:22" ht="15.75" x14ac:dyDescent="0.25">
      <c r="A25" s="222" t="s">
        <v>10</v>
      </c>
      <c r="B25" s="223"/>
      <c r="C25" s="223"/>
      <c r="D25" s="224"/>
      <c r="E25" s="234">
        <f>IF($F$7=$D$94,G101,IF($F$7=$D$106,G113,IF($F$7=$N$94,Q101,IF($F$7=$O$106,Q113,""))))</f>
        <v>860.69</v>
      </c>
      <c r="F25" s="234"/>
    </row>
    <row r="26" spans="1:22" ht="15.75" x14ac:dyDescent="0.25">
      <c r="A26" s="222" t="s">
        <v>259</v>
      </c>
      <c r="B26" s="223"/>
      <c r="C26" s="223"/>
      <c r="D26" s="224"/>
      <c r="E26" s="275">
        <v>2</v>
      </c>
      <c r="F26" s="276"/>
    </row>
    <row r="27" spans="1:22" ht="15.75" x14ac:dyDescent="0.25">
      <c r="A27" s="222" t="s">
        <v>260</v>
      </c>
      <c r="B27" s="223"/>
      <c r="C27" s="223"/>
      <c r="D27" s="224"/>
      <c r="E27" s="277">
        <v>350</v>
      </c>
      <c r="F27" s="278"/>
    </row>
    <row r="28" spans="1:22" ht="15.75" x14ac:dyDescent="0.25">
      <c r="A28" s="222" t="s">
        <v>261</v>
      </c>
      <c r="B28" s="223"/>
      <c r="C28" s="223"/>
      <c r="D28" s="224"/>
      <c r="E28" s="273">
        <v>100000</v>
      </c>
      <c r="F28" s="273"/>
    </row>
    <row r="31" spans="1:22" ht="15.75" x14ac:dyDescent="0.25">
      <c r="A31" s="236" t="s">
        <v>3</v>
      </c>
      <c r="B31" s="237"/>
      <c r="C31" s="237"/>
      <c r="D31" s="237"/>
      <c r="E31" s="237"/>
      <c r="F31" s="237"/>
    </row>
    <row r="32" spans="1:22" ht="15.75" x14ac:dyDescent="0.25">
      <c r="A32" s="222" t="s">
        <v>20</v>
      </c>
      <c r="B32" s="223"/>
      <c r="C32" s="223"/>
      <c r="D32" s="224"/>
      <c r="E32" s="234">
        <v>3.51</v>
      </c>
      <c r="F32" s="234"/>
    </row>
    <row r="33" spans="1:14" ht="15.75" x14ac:dyDescent="0.25">
      <c r="A33" s="222" t="s">
        <v>18</v>
      </c>
      <c r="B33" s="223"/>
      <c r="C33" s="223"/>
      <c r="D33" s="224"/>
      <c r="E33" s="155">
        <f>IF($F$7=$D$94,G102,IF($F$7=$D$106,G114,IF($F$7=$N$94,Q102,IF($F$7=$O$106,Q114,""))))</f>
        <v>4.7</v>
      </c>
      <c r="F33" s="156" t="s">
        <v>19</v>
      </c>
    </row>
    <row r="36" spans="1:14" ht="17.25" x14ac:dyDescent="0.3">
      <c r="A36" s="258" t="s">
        <v>21</v>
      </c>
      <c r="B36" s="259"/>
      <c r="C36" s="259"/>
      <c r="D36" s="259"/>
      <c r="E36" s="259"/>
    </row>
    <row r="37" spans="1:14" x14ac:dyDescent="0.25">
      <c r="A37" s="5"/>
      <c r="B37" s="269"/>
      <c r="C37" s="270"/>
      <c r="D37" s="271"/>
      <c r="E37" s="267" t="s">
        <v>5</v>
      </c>
      <c r="F37" s="268"/>
    </row>
    <row r="38" spans="1:14" ht="15.75" x14ac:dyDescent="0.25">
      <c r="A38" s="151" t="s">
        <v>4</v>
      </c>
      <c r="B38" s="222" t="s">
        <v>154</v>
      </c>
      <c r="C38" s="223"/>
      <c r="D38" s="224"/>
      <c r="E38" s="155">
        <f>1/E33</f>
        <v>0.21276595744680851</v>
      </c>
      <c r="F38" s="107" t="s">
        <v>6</v>
      </c>
      <c r="G38" s="107"/>
      <c r="H38" s="157"/>
      <c r="I38" s="157"/>
      <c r="J38" s="157"/>
      <c r="K38" s="165">
        <f>E32*E38</f>
        <v>0.74680851063829778</v>
      </c>
      <c r="L38" s="158" t="s">
        <v>14</v>
      </c>
      <c r="N38" s="3"/>
    </row>
    <row r="39" spans="1:14" ht="15.75" x14ac:dyDescent="0.25">
      <c r="A39" s="151" t="s">
        <v>7</v>
      </c>
      <c r="B39" s="241" t="s">
        <v>277</v>
      </c>
      <c r="C39" s="241"/>
      <c r="D39" s="241"/>
      <c r="E39" s="151">
        <v>0.04</v>
      </c>
      <c r="F39" s="157" t="s">
        <v>6</v>
      </c>
      <c r="G39" s="157"/>
      <c r="H39" s="157"/>
      <c r="I39" s="157"/>
      <c r="J39" s="157"/>
      <c r="K39" s="165">
        <f>E39*E32</f>
        <v>0.1404</v>
      </c>
      <c r="L39" s="158" t="s">
        <v>14</v>
      </c>
    </row>
    <row r="40" spans="1:14" ht="15.75" x14ac:dyDescent="0.25">
      <c r="A40" s="151" t="s">
        <v>8</v>
      </c>
      <c r="B40" s="241" t="s">
        <v>9</v>
      </c>
      <c r="C40" s="241"/>
      <c r="D40" s="241"/>
      <c r="E40" s="151"/>
      <c r="F40" s="157"/>
      <c r="G40" s="157"/>
      <c r="H40" s="157"/>
      <c r="I40" s="157"/>
      <c r="J40" s="157"/>
      <c r="K40" s="165">
        <f>((E25*E24)+(E26*E24*E27))/E28</f>
        <v>9.36414E-2</v>
      </c>
      <c r="L40" s="158" t="s">
        <v>14</v>
      </c>
    </row>
    <row r="41" spans="1:14" ht="15.75" x14ac:dyDescent="0.25">
      <c r="A41" s="151" t="s">
        <v>13</v>
      </c>
      <c r="B41" s="241" t="s">
        <v>278</v>
      </c>
      <c r="C41" s="241"/>
      <c r="D41" s="241"/>
      <c r="E41" s="184">
        <f>0.0065/O18</f>
        <v>3.0952380952380953E-6</v>
      </c>
      <c r="F41" s="229" t="s">
        <v>11</v>
      </c>
      <c r="G41" s="229"/>
      <c r="H41" s="229"/>
      <c r="I41" s="157"/>
      <c r="J41" s="157"/>
      <c r="K41" s="165">
        <f>(E41*E12)-(K40)</f>
        <v>0.49414431428571426</v>
      </c>
      <c r="L41" s="158" t="s">
        <v>14</v>
      </c>
      <c r="M41" s="148"/>
    </row>
    <row r="42" spans="1:14" ht="15.75" x14ac:dyDescent="0.25">
      <c r="A42" s="257"/>
      <c r="B42" s="257"/>
      <c r="C42" s="257"/>
      <c r="D42" s="257"/>
      <c r="E42" s="257"/>
      <c r="F42" s="157"/>
      <c r="G42" s="157"/>
      <c r="H42" s="157"/>
      <c r="I42" s="157"/>
      <c r="J42" s="157"/>
      <c r="K42" s="165">
        <f>SUM(K38:K41)</f>
        <v>1.474994224924012</v>
      </c>
      <c r="L42" s="158" t="s">
        <v>14</v>
      </c>
    </row>
    <row r="43" spans="1:14" ht="21" customHeight="1" x14ac:dyDescent="0.25">
      <c r="A43" s="262" t="s">
        <v>256</v>
      </c>
      <c r="B43" s="262"/>
      <c r="C43" s="262"/>
      <c r="D43" s="262"/>
      <c r="E43" s="262"/>
      <c r="F43" s="262"/>
      <c r="G43" s="262"/>
      <c r="H43" s="262"/>
      <c r="I43" s="262"/>
      <c r="J43" s="262"/>
      <c r="K43" s="179">
        <f>K42*O14</f>
        <v>1238.9951489361702</v>
      </c>
      <c r="L43" s="159" t="s">
        <v>17</v>
      </c>
    </row>
    <row r="45" spans="1:14" ht="18.75" x14ac:dyDescent="0.3">
      <c r="A45" s="240" t="s">
        <v>257</v>
      </c>
      <c r="B45" s="240"/>
      <c r="C45" s="240"/>
      <c r="D45" s="240"/>
      <c r="E45" s="240"/>
      <c r="F45" s="240"/>
      <c r="G45" s="240"/>
      <c r="H45" s="240"/>
      <c r="I45" s="240"/>
      <c r="J45" s="240"/>
      <c r="K45" s="176">
        <f>K42*O16*1.154</f>
        <v>2144.7006028085102</v>
      </c>
      <c r="L45" s="160" t="s">
        <v>17</v>
      </c>
    </row>
    <row r="46" spans="1:14" ht="15.75" x14ac:dyDescent="0.2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4" ht="18.75" x14ac:dyDescent="0.3">
      <c r="A47" s="240" t="s">
        <v>258</v>
      </c>
      <c r="B47" s="240"/>
      <c r="C47" s="240"/>
      <c r="D47" s="240"/>
      <c r="E47" s="240"/>
      <c r="F47" s="240"/>
      <c r="G47" s="240"/>
      <c r="H47" s="240"/>
      <c r="I47" s="240"/>
      <c r="J47" s="240"/>
      <c r="K47" s="176">
        <f>K43+K45</f>
        <v>3383.6957517446804</v>
      </c>
      <c r="L47" s="161" t="s">
        <v>17</v>
      </c>
    </row>
    <row r="49" spans="1:13" ht="15.75" x14ac:dyDescent="0.25">
      <c r="A49" s="253" t="s">
        <v>22</v>
      </c>
      <c r="B49" s="254"/>
      <c r="C49" s="254"/>
      <c r="D49" s="254"/>
      <c r="E49" s="254"/>
      <c r="F49" s="157"/>
      <c r="G49" s="157"/>
      <c r="H49" s="157"/>
      <c r="I49" s="157"/>
      <c r="J49" s="157"/>
      <c r="K49" s="157"/>
      <c r="L49" s="157"/>
    </row>
    <row r="50" spans="1:13" ht="15.75" x14ac:dyDescent="0.25">
      <c r="A50" s="4"/>
      <c r="B50" s="150"/>
      <c r="C50" s="150"/>
      <c r="D50" s="150"/>
      <c r="E50" s="150"/>
      <c r="F50" s="157"/>
      <c r="G50" s="157"/>
      <c r="H50" s="235" t="s">
        <v>26</v>
      </c>
      <c r="I50" s="235"/>
      <c r="J50" s="157"/>
      <c r="K50" s="157"/>
      <c r="L50" s="157"/>
    </row>
    <row r="51" spans="1:13" ht="15.75" x14ac:dyDescent="0.25">
      <c r="A51" s="157" t="s">
        <v>23</v>
      </c>
      <c r="B51" s="157"/>
      <c r="C51" s="229" t="s">
        <v>25</v>
      </c>
      <c r="D51" s="229"/>
      <c r="E51" s="229"/>
      <c r="F51" s="229"/>
      <c r="G51" s="157"/>
      <c r="H51" s="232"/>
      <c r="I51" s="232"/>
      <c r="J51" s="166"/>
      <c r="K51" s="167">
        <f>IF(L51="LINEAR",'DEPRECIAÇÃO LINEAR'!H23,(VLOOKUP(E15,'DEPRECIAÇÃO LINEAR'!W12:AM25,17,0)))</f>
        <v>1424.25</v>
      </c>
      <c r="L51" s="162" t="s">
        <v>239</v>
      </c>
    </row>
    <row r="52" spans="1:13" ht="15.75" x14ac:dyDescent="0.25">
      <c r="A52" s="157" t="s">
        <v>27</v>
      </c>
      <c r="B52" s="157"/>
      <c r="C52" s="229" t="s">
        <v>28</v>
      </c>
      <c r="D52" s="229"/>
      <c r="E52" s="229"/>
      <c r="F52" s="229"/>
      <c r="G52" s="157"/>
      <c r="H52" s="157"/>
      <c r="I52" s="157"/>
      <c r="J52" s="166"/>
      <c r="K52" s="166"/>
      <c r="L52" s="157"/>
    </row>
    <row r="53" spans="1:13" ht="15.75" x14ac:dyDescent="0.25">
      <c r="A53" s="157"/>
      <c r="B53" s="157" t="s">
        <v>133</v>
      </c>
      <c r="C53" s="229" t="s">
        <v>29</v>
      </c>
      <c r="D53" s="229"/>
      <c r="E53" s="229"/>
      <c r="F53" s="229"/>
      <c r="G53" s="157"/>
      <c r="H53" s="157"/>
      <c r="I53" s="157"/>
      <c r="J53" s="166"/>
      <c r="K53" s="166">
        <f>'CUSTO COM PESSOAL'!C60</f>
        <v>2691.4794329506667</v>
      </c>
      <c r="L53" s="157"/>
    </row>
    <row r="54" spans="1:13" ht="15.75" x14ac:dyDescent="0.25">
      <c r="A54" s="157"/>
      <c r="B54" s="157" t="s">
        <v>134</v>
      </c>
      <c r="C54" s="229" t="s">
        <v>96</v>
      </c>
      <c r="D54" s="229"/>
      <c r="E54" s="229"/>
      <c r="F54" s="229"/>
      <c r="G54" s="157"/>
      <c r="H54" s="157"/>
      <c r="I54" s="157"/>
      <c r="J54" s="166"/>
      <c r="K54" s="166">
        <f>'CUSTO COM PESSOAL'!C114</f>
        <v>2190.4852584</v>
      </c>
      <c r="L54" s="157"/>
    </row>
    <row r="55" spans="1:13" ht="15.75" x14ac:dyDescent="0.25">
      <c r="A55" s="157" t="s">
        <v>132</v>
      </c>
      <c r="B55" s="157"/>
      <c r="C55" s="229" t="s">
        <v>136</v>
      </c>
      <c r="D55" s="229"/>
      <c r="E55" s="229"/>
      <c r="F55" s="229"/>
      <c r="G55" s="157"/>
      <c r="H55" s="157"/>
      <c r="I55" s="157"/>
      <c r="J55" s="166"/>
      <c r="K55" s="166"/>
      <c r="L55" s="163"/>
    </row>
    <row r="56" spans="1:13" ht="15.75" x14ac:dyDescent="0.25">
      <c r="A56" s="157"/>
      <c r="B56" s="157" t="s">
        <v>135</v>
      </c>
      <c r="C56" s="157" t="s">
        <v>137</v>
      </c>
      <c r="D56" s="157"/>
      <c r="E56" s="157"/>
      <c r="F56" s="157"/>
      <c r="G56" s="157"/>
      <c r="H56" s="157"/>
      <c r="I56" s="157"/>
      <c r="J56" s="166">
        <f>1/100*E12</f>
        <v>1899</v>
      </c>
      <c r="K56" s="166">
        <f>J56/12</f>
        <v>158.25</v>
      </c>
      <c r="L56" s="157"/>
    </row>
    <row r="57" spans="1:13" ht="15.75" x14ac:dyDescent="0.25">
      <c r="A57" s="157"/>
      <c r="B57" s="157" t="s">
        <v>138</v>
      </c>
      <c r="C57" s="157" t="s">
        <v>139</v>
      </c>
      <c r="D57" s="157"/>
      <c r="E57" s="157"/>
      <c r="F57" s="157"/>
      <c r="G57" s="157"/>
      <c r="H57" s="157"/>
      <c r="I57" s="157"/>
      <c r="J57" s="166">
        <v>120.64</v>
      </c>
      <c r="K57" s="166">
        <f>J57/12</f>
        <v>10.053333333333333</v>
      </c>
      <c r="L57" s="157"/>
    </row>
    <row r="58" spans="1:13" ht="15.75" x14ac:dyDescent="0.25">
      <c r="A58" s="157"/>
      <c r="B58" s="157" t="s">
        <v>140</v>
      </c>
      <c r="C58" s="229" t="s">
        <v>141</v>
      </c>
      <c r="D58" s="229"/>
      <c r="E58" s="229"/>
      <c r="F58" s="229"/>
      <c r="G58" s="157"/>
      <c r="H58" s="157"/>
      <c r="I58" s="157"/>
      <c r="J58" s="166">
        <v>50.21</v>
      </c>
      <c r="K58" s="166">
        <f>J58/12</f>
        <v>4.184166666666667</v>
      </c>
      <c r="L58" s="157"/>
    </row>
    <row r="59" spans="1:13" ht="15.75" x14ac:dyDescent="0.25">
      <c r="A59" s="157" t="s">
        <v>143</v>
      </c>
      <c r="B59" s="157"/>
      <c r="C59" s="157" t="s">
        <v>142</v>
      </c>
      <c r="D59" s="157"/>
      <c r="E59" s="157"/>
      <c r="F59" s="157"/>
      <c r="G59" s="157"/>
      <c r="H59" s="157"/>
      <c r="I59" s="157"/>
      <c r="J59" s="166">
        <v>247.42</v>
      </c>
      <c r="K59" s="166">
        <f>J59/12</f>
        <v>20.618333333333332</v>
      </c>
      <c r="L59" s="157"/>
    </row>
    <row r="60" spans="1:13" ht="15.75" x14ac:dyDescent="0.25">
      <c r="A60" s="157" t="s">
        <v>159</v>
      </c>
      <c r="B60" s="157"/>
      <c r="C60" s="229" t="s">
        <v>160</v>
      </c>
      <c r="D60" s="229"/>
      <c r="E60" s="229"/>
      <c r="F60" s="229"/>
      <c r="G60" s="229"/>
      <c r="H60" s="157"/>
      <c r="I60" s="157"/>
      <c r="J60" s="166">
        <v>155</v>
      </c>
      <c r="K60" s="166">
        <f>4*J60</f>
        <v>620</v>
      </c>
      <c r="L60" s="157"/>
    </row>
    <row r="61" spans="1:13" ht="15.75" x14ac:dyDescent="0.25">
      <c r="A61" s="190" t="s">
        <v>162</v>
      </c>
      <c r="B61" s="190"/>
      <c r="C61" s="191" t="s">
        <v>165</v>
      </c>
      <c r="D61" s="191"/>
      <c r="E61" s="191"/>
      <c r="F61" s="191"/>
      <c r="G61" s="191"/>
      <c r="H61" s="190"/>
      <c r="I61" s="190"/>
      <c r="J61" s="192">
        <v>1740</v>
      </c>
      <c r="K61" s="192">
        <f>J61/12</f>
        <v>145</v>
      </c>
      <c r="L61" s="157"/>
    </row>
    <row r="62" spans="1:13" ht="15.75" x14ac:dyDescent="0.25">
      <c r="A62" s="157" t="s">
        <v>163</v>
      </c>
      <c r="B62" s="157"/>
      <c r="C62" s="229" t="s">
        <v>164</v>
      </c>
      <c r="D62" s="229"/>
      <c r="E62" s="229"/>
      <c r="F62" s="150"/>
      <c r="G62" s="150"/>
      <c r="H62" s="157"/>
      <c r="I62" s="157"/>
      <c r="J62" s="168"/>
      <c r="K62" s="166"/>
      <c r="L62" s="157"/>
    </row>
    <row r="63" spans="1:13" ht="15.75" x14ac:dyDescent="0.25">
      <c r="A63" s="190" t="s">
        <v>251</v>
      </c>
      <c r="B63" s="190"/>
      <c r="C63" s="266" t="s">
        <v>252</v>
      </c>
      <c r="D63" s="266"/>
      <c r="E63" s="266"/>
      <c r="F63" s="266"/>
      <c r="G63" s="191"/>
      <c r="H63" s="190"/>
      <c r="I63" s="190"/>
      <c r="J63" s="193">
        <v>290.83</v>
      </c>
      <c r="K63" s="194">
        <f>J63/24</f>
        <v>12.117916666666666</v>
      </c>
      <c r="L63" s="157"/>
    </row>
    <row r="64" spans="1:13" ht="20.25" customHeight="1" x14ac:dyDescent="0.25">
      <c r="A64" s="262" t="s">
        <v>145</v>
      </c>
      <c r="B64" s="262"/>
      <c r="C64" s="262"/>
      <c r="D64" s="262"/>
      <c r="E64" s="262"/>
      <c r="F64" s="262"/>
      <c r="G64" s="262"/>
      <c r="H64" s="262"/>
      <c r="I64" s="262"/>
      <c r="J64" s="262"/>
      <c r="K64" s="178">
        <f>SUM(K51:K63)</f>
        <v>7276.4384413506668</v>
      </c>
      <c r="L64" s="164" t="s">
        <v>17</v>
      </c>
      <c r="M64" s="103"/>
    </row>
    <row r="66" spans="1:12" ht="19.5" customHeight="1" x14ac:dyDescent="0.3">
      <c r="A66" s="272" t="s">
        <v>241</v>
      </c>
      <c r="B66" s="272"/>
      <c r="C66" s="272"/>
      <c r="D66" s="272"/>
      <c r="E66" s="272"/>
      <c r="F66" s="272"/>
      <c r="G66" s="272"/>
      <c r="H66" s="272"/>
      <c r="I66" s="272"/>
      <c r="K66" s="177">
        <f>K47+K64</f>
        <v>10660.134193095348</v>
      </c>
    </row>
    <row r="68" spans="1:12" ht="15.75" x14ac:dyDescent="0.25">
      <c r="A68" s="236" t="s">
        <v>242</v>
      </c>
      <c r="B68" s="236"/>
      <c r="C68" s="236"/>
      <c r="D68" s="236"/>
      <c r="E68" s="236"/>
      <c r="I68" s="225" t="s">
        <v>157</v>
      </c>
      <c r="J68" s="225"/>
    </row>
    <row r="69" spans="1:12" ht="15.75" x14ac:dyDescent="0.25">
      <c r="A69" s="107" t="s">
        <v>155</v>
      </c>
      <c r="B69" s="157"/>
      <c r="C69" s="229" t="s">
        <v>156</v>
      </c>
      <c r="D69" s="229"/>
      <c r="E69" s="229"/>
      <c r="F69" s="229"/>
      <c r="G69" s="157"/>
      <c r="H69" s="157"/>
      <c r="I69" s="171">
        <v>0.05</v>
      </c>
      <c r="J69" s="107"/>
      <c r="K69" s="166">
        <f>0.05*K66</f>
        <v>533.00670965476741</v>
      </c>
      <c r="L69" s="157"/>
    </row>
    <row r="70" spans="1:12" ht="15.75" x14ac:dyDescent="0.25">
      <c r="A70" s="157"/>
      <c r="B70" s="157"/>
      <c r="C70" s="229" t="s">
        <v>161</v>
      </c>
      <c r="D70" s="229"/>
      <c r="E70" s="229"/>
      <c r="F70" s="229"/>
      <c r="G70" s="157"/>
      <c r="H70" s="157"/>
      <c r="I70" s="169">
        <v>0.06</v>
      </c>
      <c r="J70" s="157"/>
      <c r="K70" s="166">
        <f>0.06*(K66+K69)</f>
        <v>671.58845416500697</v>
      </c>
      <c r="L70" s="157"/>
    </row>
    <row r="71" spans="1:12" ht="18.75" x14ac:dyDescent="0.3">
      <c r="A71" s="157"/>
      <c r="B71" s="157"/>
      <c r="C71" s="157"/>
      <c r="D71" s="157"/>
      <c r="E71" s="157"/>
      <c r="F71" s="157"/>
      <c r="G71" s="157"/>
      <c r="H71" s="157"/>
      <c r="I71" s="157"/>
      <c r="J71" s="170" t="s">
        <v>240</v>
      </c>
      <c r="K71" s="176">
        <f>SUM(K69:K70)</f>
        <v>1204.5951638197744</v>
      </c>
      <c r="L71" s="161" t="s">
        <v>17</v>
      </c>
    </row>
    <row r="73" spans="1:12" ht="15.75" x14ac:dyDescent="0.25">
      <c r="A73" s="236" t="s">
        <v>243</v>
      </c>
      <c r="B73" s="236"/>
      <c r="C73" s="236"/>
      <c r="D73" s="236"/>
      <c r="E73" s="236"/>
      <c r="F73" s="157"/>
      <c r="G73" s="157"/>
      <c r="H73" s="157"/>
      <c r="I73" s="157"/>
      <c r="J73" s="157"/>
      <c r="K73" s="157"/>
      <c r="L73" s="157"/>
    </row>
    <row r="74" spans="1:12" ht="15.75" x14ac:dyDescent="0.25">
      <c r="A74" s="229" t="s">
        <v>144</v>
      </c>
      <c r="B74" s="229"/>
      <c r="C74" s="229"/>
      <c r="D74" s="229"/>
      <c r="E74" s="229"/>
      <c r="F74" s="229"/>
      <c r="G74" s="157"/>
      <c r="H74" s="157"/>
      <c r="I74" s="241" t="s">
        <v>149</v>
      </c>
      <c r="J74" s="241"/>
      <c r="K74" s="172">
        <f>K66+K71</f>
        <v>11864.729356915122</v>
      </c>
      <c r="L74" s="157"/>
    </row>
    <row r="75" spans="1:12" ht="15.75" x14ac:dyDescent="0.25">
      <c r="A75" s="157"/>
      <c r="B75" s="157" t="s">
        <v>146</v>
      </c>
      <c r="C75" s="157"/>
      <c r="D75" s="157"/>
      <c r="E75" s="157"/>
      <c r="F75" s="157"/>
      <c r="G75" s="157"/>
      <c r="H75" s="157"/>
      <c r="I75" s="242">
        <v>0.05</v>
      </c>
      <c r="J75" s="242"/>
      <c r="K75" s="172">
        <f>I75*K74</f>
        <v>593.23646784575612</v>
      </c>
      <c r="L75" s="157"/>
    </row>
    <row r="76" spans="1:12" ht="15.75" x14ac:dyDescent="0.25">
      <c r="A76" s="157"/>
      <c r="B76" s="157" t="s">
        <v>147</v>
      </c>
      <c r="C76" s="157"/>
      <c r="D76" s="157"/>
      <c r="E76" s="157"/>
      <c r="F76" s="157"/>
      <c r="G76" s="157"/>
      <c r="H76" s="157"/>
      <c r="I76" s="243">
        <v>1.6500000000000001E-2</v>
      </c>
      <c r="J76" s="243"/>
      <c r="K76" s="172">
        <f>I76*K74</f>
        <v>195.76803438909954</v>
      </c>
      <c r="L76" s="157"/>
    </row>
    <row r="77" spans="1:12" ht="15.75" x14ac:dyDescent="0.25">
      <c r="A77" s="157"/>
      <c r="B77" s="157" t="s">
        <v>148</v>
      </c>
      <c r="C77" s="157"/>
      <c r="D77" s="157"/>
      <c r="E77" s="157"/>
      <c r="F77" s="157"/>
      <c r="G77" s="157"/>
      <c r="H77" s="157"/>
      <c r="I77" s="244">
        <v>7.5999999999999998E-2</v>
      </c>
      <c r="J77" s="244"/>
      <c r="K77" s="172">
        <f>I77*K74</f>
        <v>901.71943112554925</v>
      </c>
      <c r="L77" s="157"/>
    </row>
    <row r="78" spans="1:12" ht="21" customHeight="1" x14ac:dyDescent="0.3">
      <c r="A78" s="240" t="s">
        <v>150</v>
      </c>
      <c r="B78" s="240"/>
      <c r="C78" s="240"/>
      <c r="D78" s="240"/>
      <c r="E78" s="240"/>
      <c r="F78" s="240"/>
      <c r="G78" s="240"/>
      <c r="H78" s="240"/>
      <c r="I78" s="240"/>
      <c r="J78" s="240"/>
      <c r="K78" s="175">
        <f>SUM(K75:K77)</f>
        <v>1690.7239333604048</v>
      </c>
      <c r="L78" s="161" t="s">
        <v>17</v>
      </c>
    </row>
    <row r="80" spans="1:12" x14ac:dyDescent="0.25">
      <c r="C80" s="105"/>
      <c r="D80" s="105"/>
      <c r="E80" s="105"/>
      <c r="F80" s="105"/>
      <c r="K80" s="104"/>
    </row>
    <row r="81" spans="1:20" ht="15.75" x14ac:dyDescent="0.25">
      <c r="A81" s="236" t="s">
        <v>158</v>
      </c>
      <c r="B81" s="236"/>
      <c r="C81" s="236"/>
      <c r="D81" s="236"/>
      <c r="E81" s="236"/>
      <c r="F81" s="236"/>
      <c r="G81" s="236"/>
      <c r="H81" s="236"/>
      <c r="I81" s="236"/>
      <c r="T81" s="148"/>
    </row>
    <row r="82" spans="1:20" ht="15.75" x14ac:dyDescent="0.25">
      <c r="A82" s="106"/>
      <c r="B82" s="106"/>
      <c r="C82" s="106"/>
      <c r="D82" s="106"/>
      <c r="E82" s="106"/>
      <c r="F82" s="106"/>
      <c r="G82" s="106"/>
      <c r="H82" s="106"/>
      <c r="I82" s="106"/>
    </row>
    <row r="83" spans="1:20" ht="15.75" x14ac:dyDescent="0.25">
      <c r="A83" s="236" t="s">
        <v>153</v>
      </c>
      <c r="B83" s="237"/>
      <c r="C83" s="237"/>
      <c r="D83" s="237"/>
      <c r="E83" s="237"/>
      <c r="F83" s="237"/>
      <c r="G83" s="237"/>
      <c r="H83" s="237"/>
    </row>
    <row r="84" spans="1:20" ht="20.25" customHeight="1" x14ac:dyDescent="0.3">
      <c r="A84" s="229" t="s">
        <v>244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173">
        <f>K66+K71+K78</f>
        <v>13555.453290275527</v>
      </c>
    </row>
    <row r="85" spans="1:20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4"/>
    </row>
    <row r="86" spans="1:20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4"/>
      <c r="P86" s="147"/>
    </row>
    <row r="87" spans="1:20" ht="8.25" customHeight="1" x14ac:dyDescent="0.25"/>
    <row r="88" spans="1:20" ht="16.5" customHeight="1" x14ac:dyDescent="0.25">
      <c r="A88" s="231" t="s">
        <v>151</v>
      </c>
      <c r="B88" s="232"/>
      <c r="C88" s="232"/>
      <c r="D88" s="232"/>
      <c r="E88" s="232"/>
      <c r="F88" s="232"/>
      <c r="G88" s="232"/>
      <c r="H88" s="232"/>
      <c r="I88" s="232"/>
      <c r="J88" s="232"/>
      <c r="K88" s="157"/>
      <c r="L88" s="157"/>
    </row>
    <row r="89" spans="1:20" ht="24.75" customHeight="1" x14ac:dyDescent="0.3">
      <c r="A89" s="230" t="s">
        <v>250</v>
      </c>
      <c r="B89" s="230"/>
      <c r="C89" s="230"/>
      <c r="D89" s="230"/>
      <c r="E89" s="230"/>
      <c r="F89" s="230"/>
      <c r="G89" s="230"/>
      <c r="H89" s="230"/>
      <c r="I89" s="230"/>
      <c r="J89" s="230"/>
      <c r="K89" s="185">
        <f>K84/O18</f>
        <v>6.4549777572740608</v>
      </c>
      <c r="L89" s="174" t="s">
        <v>152</v>
      </c>
    </row>
    <row r="93" spans="1:20" s="110" customFormat="1" x14ac:dyDescent="0.25"/>
    <row r="94" spans="1:20" s="111" customFormat="1" ht="18.75" x14ac:dyDescent="0.3">
      <c r="B94" s="112" t="s">
        <v>173</v>
      </c>
      <c r="D94" s="239" t="s">
        <v>169</v>
      </c>
      <c r="E94" s="239"/>
      <c r="L94" s="112" t="s">
        <v>173</v>
      </c>
      <c r="M94" s="112"/>
      <c r="N94" s="112" t="s">
        <v>179</v>
      </c>
      <c r="O94" s="112"/>
    </row>
    <row r="95" spans="1:20" s="111" customFormat="1" x14ac:dyDescent="0.25"/>
    <row r="96" spans="1:20" s="111" customFormat="1" x14ac:dyDescent="0.25">
      <c r="B96" s="226" t="s">
        <v>170</v>
      </c>
      <c r="C96" s="226"/>
      <c r="D96" s="113"/>
      <c r="E96" s="113"/>
      <c r="F96" s="238">
        <v>288912</v>
      </c>
      <c r="G96" s="238"/>
      <c r="L96" s="114" t="s">
        <v>170</v>
      </c>
      <c r="M96" s="114"/>
      <c r="N96" s="114"/>
      <c r="O96" s="114"/>
      <c r="P96" s="114"/>
      <c r="Q96" s="137">
        <v>189900</v>
      </c>
    </row>
    <row r="97" spans="2:18" s="111" customFormat="1" x14ac:dyDescent="0.25">
      <c r="B97" s="114" t="s">
        <v>171</v>
      </c>
      <c r="D97" s="113"/>
      <c r="E97" s="113"/>
      <c r="F97" s="227">
        <v>15</v>
      </c>
      <c r="G97" s="227"/>
      <c r="H97" s="111" t="s">
        <v>280</v>
      </c>
      <c r="L97" s="114" t="s">
        <v>171</v>
      </c>
      <c r="M97" s="114"/>
      <c r="N97" s="114"/>
      <c r="O97" s="114"/>
      <c r="P97" s="114"/>
      <c r="Q97" s="114">
        <v>15</v>
      </c>
      <c r="R97" s="111" t="s">
        <v>280</v>
      </c>
    </row>
    <row r="98" spans="2:18" s="111" customFormat="1" x14ac:dyDescent="0.25">
      <c r="B98" s="114" t="s">
        <v>186</v>
      </c>
      <c r="D98" s="113"/>
      <c r="E98" s="113"/>
      <c r="F98" s="122"/>
      <c r="G98" s="122">
        <v>2017</v>
      </c>
      <c r="L98" s="114" t="s">
        <v>186</v>
      </c>
      <c r="N98" s="113"/>
      <c r="O98" s="113"/>
      <c r="P98" s="122"/>
      <c r="Q98" s="122">
        <v>2017</v>
      </c>
    </row>
    <row r="99" spans="2:18" s="111" customFormat="1" x14ac:dyDescent="0.25">
      <c r="B99" s="226" t="s">
        <v>172</v>
      </c>
      <c r="C99" s="226"/>
      <c r="D99" s="226"/>
      <c r="F99" s="227">
        <v>6</v>
      </c>
      <c r="G99" s="227"/>
      <c r="L99" s="114" t="s">
        <v>180</v>
      </c>
      <c r="M99" s="114"/>
      <c r="N99" s="114"/>
      <c r="O99" s="114"/>
      <c r="P99" s="114"/>
      <c r="Q99" s="114">
        <v>6</v>
      </c>
    </row>
    <row r="100" spans="2:18" s="111" customFormat="1" x14ac:dyDescent="0.25">
      <c r="B100" s="226" t="s">
        <v>175</v>
      </c>
      <c r="C100" s="226"/>
      <c r="D100" s="226"/>
      <c r="F100" s="115"/>
      <c r="G100" s="120">
        <v>100000</v>
      </c>
      <c r="L100" s="114" t="s">
        <v>175</v>
      </c>
      <c r="M100" s="114"/>
      <c r="N100" s="114"/>
      <c r="O100" s="114"/>
      <c r="P100" s="114"/>
      <c r="Q100" s="123">
        <v>100000</v>
      </c>
    </row>
    <row r="101" spans="2:18" s="111" customFormat="1" x14ac:dyDescent="0.25">
      <c r="B101" s="226" t="s">
        <v>176</v>
      </c>
      <c r="C101" s="226"/>
      <c r="D101" s="226"/>
      <c r="F101" s="115"/>
      <c r="G101" s="124">
        <v>1533.77</v>
      </c>
      <c r="L101" s="114" t="s">
        <v>176</v>
      </c>
      <c r="M101" s="114"/>
      <c r="N101" s="114"/>
      <c r="O101" s="114"/>
      <c r="P101" s="114"/>
      <c r="Q101" s="183">
        <v>860.69</v>
      </c>
    </row>
    <row r="102" spans="2:18" s="111" customFormat="1" x14ac:dyDescent="0.25">
      <c r="B102" s="226" t="s">
        <v>177</v>
      </c>
      <c r="C102" s="226"/>
      <c r="D102" s="116"/>
      <c r="F102" s="115"/>
      <c r="G102" s="115">
        <v>2.6</v>
      </c>
      <c r="H102" s="114" t="s">
        <v>178</v>
      </c>
      <c r="L102" s="114" t="s">
        <v>177</v>
      </c>
      <c r="M102" s="114"/>
      <c r="N102" s="114"/>
      <c r="O102" s="114"/>
      <c r="P102" s="114"/>
      <c r="Q102" s="114">
        <v>4.7</v>
      </c>
    </row>
    <row r="103" spans="2:18" s="111" customFormat="1" x14ac:dyDescent="0.25">
      <c r="B103" s="226" t="s">
        <v>174</v>
      </c>
      <c r="C103" s="226"/>
      <c r="D103" s="226"/>
      <c r="F103" s="227" t="s">
        <v>231</v>
      </c>
      <c r="G103" s="227"/>
      <c r="L103" s="114" t="s">
        <v>174</v>
      </c>
      <c r="M103" s="114"/>
      <c r="N103" s="114"/>
      <c r="O103" s="114"/>
      <c r="P103" s="114"/>
      <c r="Q103" s="114" t="s">
        <v>230</v>
      </c>
    </row>
    <row r="104" spans="2:18" s="111" customFormat="1" x14ac:dyDescent="0.25"/>
    <row r="105" spans="2:18" s="111" customFormat="1" x14ac:dyDescent="0.25"/>
    <row r="106" spans="2:18" s="111" customFormat="1" ht="18.75" x14ac:dyDescent="0.3">
      <c r="B106" s="112" t="s">
        <v>173</v>
      </c>
      <c r="C106" s="112"/>
      <c r="D106" s="112" t="s">
        <v>181</v>
      </c>
      <c r="E106" s="114"/>
      <c r="F106" s="114"/>
      <c r="G106" s="114"/>
      <c r="H106" s="114"/>
      <c r="L106" s="112" t="s">
        <v>173</v>
      </c>
      <c r="M106" s="117"/>
      <c r="N106" s="117"/>
      <c r="O106" s="112" t="s">
        <v>182</v>
      </c>
    </row>
    <row r="107" spans="2:18" s="111" customFormat="1" x14ac:dyDescent="0.25">
      <c r="B107" s="114"/>
      <c r="C107" s="114"/>
      <c r="D107" s="114"/>
      <c r="E107" s="114"/>
      <c r="F107" s="114"/>
      <c r="G107" s="114"/>
      <c r="H107" s="114"/>
    </row>
    <row r="108" spans="2:18" s="111" customFormat="1" x14ac:dyDescent="0.25">
      <c r="B108" s="226" t="s">
        <v>170</v>
      </c>
      <c r="C108" s="226"/>
      <c r="D108" s="113"/>
      <c r="E108" s="113"/>
      <c r="F108" s="227">
        <v>400</v>
      </c>
      <c r="G108" s="227"/>
      <c r="H108" s="114"/>
      <c r="L108" s="226" t="s">
        <v>170</v>
      </c>
      <c r="M108" s="226"/>
      <c r="N108" s="113"/>
      <c r="O108" s="113"/>
      <c r="P108" s="227" t="s">
        <v>182</v>
      </c>
      <c r="Q108" s="227"/>
      <c r="R108" s="114"/>
    </row>
    <row r="109" spans="2:18" s="111" customFormat="1" x14ac:dyDescent="0.25">
      <c r="B109" s="114" t="s">
        <v>171</v>
      </c>
      <c r="C109" s="114"/>
      <c r="D109" s="113"/>
      <c r="E109" s="113"/>
      <c r="F109" s="227">
        <v>10</v>
      </c>
      <c r="G109" s="227"/>
      <c r="H109" s="114" t="s">
        <v>280</v>
      </c>
      <c r="L109" s="114" t="s">
        <v>171</v>
      </c>
      <c r="M109" s="114"/>
      <c r="N109" s="113"/>
      <c r="O109" s="113"/>
      <c r="P109" s="227">
        <v>8</v>
      </c>
      <c r="Q109" s="227"/>
      <c r="R109" s="114" t="s">
        <v>280</v>
      </c>
    </row>
    <row r="110" spans="2:18" s="111" customFormat="1" x14ac:dyDescent="0.25">
      <c r="B110" s="114" t="s">
        <v>186</v>
      </c>
      <c r="D110" s="113"/>
      <c r="E110" s="113"/>
      <c r="F110" s="122"/>
      <c r="G110" s="122" t="s">
        <v>187</v>
      </c>
      <c r="L110" s="114" t="s">
        <v>186</v>
      </c>
      <c r="N110" s="113"/>
      <c r="O110" s="113"/>
      <c r="P110" s="122"/>
      <c r="Q110" s="122" t="s">
        <v>188</v>
      </c>
      <c r="R110" s="114"/>
    </row>
    <row r="111" spans="2:18" s="111" customFormat="1" x14ac:dyDescent="0.25">
      <c r="B111" s="226" t="s">
        <v>172</v>
      </c>
      <c r="C111" s="226"/>
      <c r="D111" s="226"/>
      <c r="E111" s="114"/>
      <c r="F111" s="227" t="s">
        <v>192</v>
      </c>
      <c r="G111" s="227"/>
      <c r="H111" s="114"/>
      <c r="L111" s="226" t="s">
        <v>172</v>
      </c>
      <c r="M111" s="226"/>
      <c r="N111" s="226"/>
      <c r="O111" s="114"/>
      <c r="P111" s="227" t="s">
        <v>193</v>
      </c>
      <c r="Q111" s="227"/>
      <c r="R111" s="114"/>
    </row>
    <row r="112" spans="2:18" s="111" customFormat="1" x14ac:dyDescent="0.25">
      <c r="B112" s="226" t="s">
        <v>175</v>
      </c>
      <c r="C112" s="226"/>
      <c r="D112" s="226"/>
      <c r="E112" s="114"/>
      <c r="F112" s="115"/>
      <c r="G112" s="122" t="s">
        <v>194</v>
      </c>
      <c r="H112" s="114"/>
      <c r="L112" s="226" t="s">
        <v>175</v>
      </c>
      <c r="M112" s="226"/>
      <c r="N112" s="226"/>
      <c r="O112" s="114"/>
      <c r="P112" s="115"/>
      <c r="Q112" s="122" t="s">
        <v>195</v>
      </c>
      <c r="R112" s="114"/>
    </row>
    <row r="113" spans="2:21" s="111" customFormat="1" x14ac:dyDescent="0.25">
      <c r="B113" s="226" t="s">
        <v>176</v>
      </c>
      <c r="C113" s="226"/>
      <c r="D113" s="226"/>
      <c r="E113" s="114"/>
      <c r="F113" s="115"/>
      <c r="G113" s="115">
        <v>400</v>
      </c>
      <c r="H113" s="114"/>
      <c r="L113" s="226" t="s">
        <v>176</v>
      </c>
      <c r="M113" s="226"/>
      <c r="N113" s="226"/>
      <c r="O113" s="114"/>
      <c r="P113" s="115"/>
      <c r="Q113" s="115">
        <v>4444</v>
      </c>
      <c r="R113" s="114"/>
    </row>
    <row r="114" spans="2:21" s="111" customFormat="1" x14ac:dyDescent="0.25">
      <c r="B114" s="226" t="s">
        <v>177</v>
      </c>
      <c r="C114" s="226"/>
      <c r="D114" s="116"/>
      <c r="E114" s="114"/>
      <c r="F114" s="115"/>
      <c r="G114" s="115">
        <v>2</v>
      </c>
      <c r="H114" s="114" t="s">
        <v>178</v>
      </c>
      <c r="L114" s="226" t="s">
        <v>177</v>
      </c>
      <c r="M114" s="226"/>
      <c r="N114" s="116"/>
      <c r="O114" s="114"/>
      <c r="P114" s="115"/>
      <c r="Q114" s="115">
        <v>4</v>
      </c>
      <c r="R114" s="114" t="s">
        <v>178</v>
      </c>
    </row>
    <row r="115" spans="2:21" s="111" customFormat="1" x14ac:dyDescent="0.25">
      <c r="B115" s="226" t="s">
        <v>174</v>
      </c>
      <c r="C115" s="226"/>
      <c r="D115" s="226"/>
      <c r="E115" s="114"/>
      <c r="F115" s="227" t="s">
        <v>190</v>
      </c>
      <c r="G115" s="227"/>
      <c r="H115" s="114"/>
      <c r="L115" s="226" t="s">
        <v>174</v>
      </c>
      <c r="M115" s="226"/>
      <c r="N115" s="226"/>
      <c r="O115" s="114"/>
      <c r="P115" s="227" t="s">
        <v>191</v>
      </c>
      <c r="Q115" s="227"/>
      <c r="R115" s="114"/>
    </row>
    <row r="116" spans="2:21" s="111" customFormat="1" x14ac:dyDescent="0.25"/>
    <row r="117" spans="2:21" s="111" customFormat="1" x14ac:dyDescent="0.25"/>
    <row r="118" spans="2:21" s="111" customFormat="1" ht="18.75" x14ac:dyDescent="0.3">
      <c r="Q118" s="118" t="s">
        <v>169</v>
      </c>
      <c r="R118" s="118"/>
      <c r="T118" s="114" t="s">
        <v>239</v>
      </c>
      <c r="U118" s="114"/>
    </row>
    <row r="119" spans="2:21" s="111" customFormat="1" ht="18.75" x14ac:dyDescent="0.3">
      <c r="Q119" s="118" t="s">
        <v>179</v>
      </c>
      <c r="R119" s="119"/>
      <c r="T119" s="114" t="s">
        <v>238</v>
      </c>
      <c r="U119" s="114"/>
    </row>
    <row r="120" spans="2:21" s="111" customFormat="1" ht="18.75" x14ac:dyDescent="0.3">
      <c r="Q120" s="112" t="s">
        <v>181</v>
      </c>
    </row>
    <row r="121" spans="2:21" s="111" customFormat="1" ht="18" customHeight="1" x14ac:dyDescent="0.3">
      <c r="Q121" s="112" t="s">
        <v>182</v>
      </c>
    </row>
    <row r="122" spans="2:21" ht="0.75" hidden="1" customHeight="1" x14ac:dyDescent="0.25"/>
    <row r="123" spans="2:21" hidden="1" x14ac:dyDescent="0.25"/>
  </sheetData>
  <mergeCells count="117">
    <mergeCell ref="A14:D14"/>
    <mergeCell ref="E15:F15"/>
    <mergeCell ref="A16:D16"/>
    <mergeCell ref="E16:F16"/>
    <mergeCell ref="E28:F28"/>
    <mergeCell ref="A23:F23"/>
    <mergeCell ref="K11:N11"/>
    <mergeCell ref="K12:N12"/>
    <mergeCell ref="K13:N13"/>
    <mergeCell ref="K14:N15"/>
    <mergeCell ref="K16:N17"/>
    <mergeCell ref="K18:N18"/>
    <mergeCell ref="A26:D26"/>
    <mergeCell ref="E26:F26"/>
    <mergeCell ref="A27:D27"/>
    <mergeCell ref="E27:F27"/>
    <mergeCell ref="A13:D13"/>
    <mergeCell ref="E13:F13"/>
    <mergeCell ref="A64:J64"/>
    <mergeCell ref="A73:E73"/>
    <mergeCell ref="C51:F51"/>
    <mergeCell ref="H51:I51"/>
    <mergeCell ref="C60:G60"/>
    <mergeCell ref="C62:E62"/>
    <mergeCell ref="C52:F52"/>
    <mergeCell ref="C53:F53"/>
    <mergeCell ref="A20:F20"/>
    <mergeCell ref="C63:F63"/>
    <mergeCell ref="B40:D40"/>
    <mergeCell ref="E37:F37"/>
    <mergeCell ref="B38:D38"/>
    <mergeCell ref="B37:D37"/>
    <mergeCell ref="A25:D25"/>
    <mergeCell ref="E32:F32"/>
    <mergeCell ref="A45:J45"/>
    <mergeCell ref="A47:J47"/>
    <mergeCell ref="A66:I66"/>
    <mergeCell ref="K7:N7"/>
    <mergeCell ref="C2:F6"/>
    <mergeCell ref="H3:P5"/>
    <mergeCell ref="A11:F11"/>
    <mergeCell ref="A49:E49"/>
    <mergeCell ref="E14:F14"/>
    <mergeCell ref="A42:E42"/>
    <mergeCell ref="B41:D41"/>
    <mergeCell ref="F41:H41"/>
    <mergeCell ref="A24:D24"/>
    <mergeCell ref="A31:F31"/>
    <mergeCell ref="A36:E36"/>
    <mergeCell ref="A12:C12"/>
    <mergeCell ref="A19:F19"/>
    <mergeCell ref="B39:D39"/>
    <mergeCell ref="A28:D28"/>
    <mergeCell ref="F7:H7"/>
    <mergeCell ref="B8:C8"/>
    <mergeCell ref="E12:F12"/>
    <mergeCell ref="A43:J43"/>
    <mergeCell ref="O14:O15"/>
    <mergeCell ref="P14:P15"/>
    <mergeCell ref="O16:O17"/>
    <mergeCell ref="P16:P17"/>
    <mergeCell ref="P115:Q115"/>
    <mergeCell ref="B112:D112"/>
    <mergeCell ref="B113:D113"/>
    <mergeCell ref="B114:C114"/>
    <mergeCell ref="B115:D115"/>
    <mergeCell ref="F115:G115"/>
    <mergeCell ref="P108:Q108"/>
    <mergeCell ref="P109:Q109"/>
    <mergeCell ref="L111:N111"/>
    <mergeCell ref="P111:Q111"/>
    <mergeCell ref="B108:C108"/>
    <mergeCell ref="L115:N115"/>
    <mergeCell ref="L108:M108"/>
    <mergeCell ref="F108:G108"/>
    <mergeCell ref="F109:G109"/>
    <mergeCell ref="B111:D111"/>
    <mergeCell ref="F111:G111"/>
    <mergeCell ref="L114:M114"/>
    <mergeCell ref="L113:N113"/>
    <mergeCell ref="F97:G97"/>
    <mergeCell ref="B99:D99"/>
    <mergeCell ref="L112:N112"/>
    <mergeCell ref="A81:I81"/>
    <mergeCell ref="D94:E94"/>
    <mergeCell ref="A78:J78"/>
    <mergeCell ref="A68:E68"/>
    <mergeCell ref="C69:F69"/>
    <mergeCell ref="C70:F70"/>
    <mergeCell ref="I74:J74"/>
    <mergeCell ref="I75:J75"/>
    <mergeCell ref="I76:J76"/>
    <mergeCell ref="I77:J77"/>
    <mergeCell ref="I9:P9"/>
    <mergeCell ref="A32:D32"/>
    <mergeCell ref="A33:D33"/>
    <mergeCell ref="I68:J68"/>
    <mergeCell ref="B103:D103"/>
    <mergeCell ref="F103:G103"/>
    <mergeCell ref="T17:V17"/>
    <mergeCell ref="F99:G99"/>
    <mergeCell ref="B100:D100"/>
    <mergeCell ref="B101:D101"/>
    <mergeCell ref="B102:C102"/>
    <mergeCell ref="B96:C96"/>
    <mergeCell ref="A84:J84"/>
    <mergeCell ref="A89:J89"/>
    <mergeCell ref="A88:J88"/>
    <mergeCell ref="E24:F24"/>
    <mergeCell ref="E25:F25"/>
    <mergeCell ref="H50:I50"/>
    <mergeCell ref="A74:F74"/>
    <mergeCell ref="C54:F54"/>
    <mergeCell ref="C55:F55"/>
    <mergeCell ref="C58:F58"/>
    <mergeCell ref="A83:H83"/>
    <mergeCell ref="F96:G96"/>
  </mergeCells>
  <conditionalFormatting sqref="P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{62A6BB7F-F7C1-4CA2-B851-B2089D72223A}</x14:id>
        </ext>
      </extLst>
    </cfRule>
  </conditionalFormatting>
  <dataValidations count="3">
    <dataValidation type="list" allowBlank="1" showInputMessage="1" showErrorMessage="1" sqref="F7:H7 T17:V17">
      <formula1>$Q$118:$Q$121</formula1>
    </dataValidation>
    <dataValidation type="list" allowBlank="1" showInputMessage="1" showErrorMessage="1" sqref="L51">
      <formula1>"LINEAR, MÉTODO COLE"</formula1>
    </dataValidation>
    <dataValidation type="list" allowBlank="1" showInputMessage="1" showErrorMessage="1" sqref="E15:F15">
      <formula1>"0,1,2,3,4,5,6,7,8,9,10,11,12,13,14,15"</formula1>
    </dataValidation>
  </dataValidations>
  <pageMargins left="0.51181102362204722" right="0.51181102362204722" top="0.78740157480314965" bottom="0.78740157480314965" header="0.31496062992125984" footer="0.31496062992125984"/>
  <pageSetup paperSize="9" scale="5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A6BB7F-F7C1-4CA2-B851-B2089D7222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view="pageBreakPreview" topLeftCell="B63" zoomScale="90" zoomScaleNormal="100" zoomScaleSheetLayoutView="90" workbookViewId="0">
      <selection activeCell="E68" sqref="E68"/>
    </sheetView>
  </sheetViews>
  <sheetFormatPr defaultRowHeight="12.75" x14ac:dyDescent="0.25"/>
  <cols>
    <col min="1" max="1" width="9.42578125" style="6" hidden="1" customWidth="1"/>
    <col min="2" max="2" width="46" style="6" customWidth="1"/>
    <col min="3" max="3" width="22.7109375" style="6" customWidth="1"/>
    <col min="4" max="4" width="11.7109375" style="6" customWidth="1"/>
    <col min="5" max="5" width="11" style="74" bestFit="1" customWidth="1"/>
    <col min="6" max="7" width="9.140625" style="6"/>
    <col min="8" max="8" width="12.140625" style="6" bestFit="1" customWidth="1"/>
    <col min="9" max="16384" width="9.140625" style="6"/>
  </cols>
  <sheetData>
    <row r="1" spans="1:8" x14ac:dyDescent="0.25">
      <c r="B1" s="279" t="s">
        <v>30</v>
      </c>
      <c r="C1" s="279"/>
      <c r="D1" s="7"/>
      <c r="E1" s="8"/>
      <c r="F1" s="7"/>
    </row>
    <row r="2" spans="1:8" x14ac:dyDescent="0.25">
      <c r="B2" s="279" t="s">
        <v>31</v>
      </c>
      <c r="C2" s="279"/>
      <c r="D2" s="7"/>
      <c r="E2" s="8"/>
      <c r="F2" s="7"/>
    </row>
    <row r="3" spans="1:8" x14ac:dyDescent="0.25">
      <c r="B3" s="7"/>
      <c r="C3" s="280" t="s">
        <v>100</v>
      </c>
      <c r="D3" s="281"/>
      <c r="E3" s="281"/>
      <c r="F3" s="281"/>
      <c r="G3" s="281"/>
      <c r="H3" s="281"/>
    </row>
    <row r="4" spans="1:8" x14ac:dyDescent="0.25">
      <c r="B4" s="7"/>
      <c r="C4" s="281"/>
      <c r="D4" s="281"/>
      <c r="E4" s="281"/>
      <c r="F4" s="281"/>
      <c r="G4" s="281"/>
      <c r="H4" s="281"/>
    </row>
    <row r="5" spans="1:8" x14ac:dyDescent="0.25">
      <c r="B5" s="7"/>
      <c r="C5" s="281"/>
      <c r="D5" s="281"/>
      <c r="E5" s="281"/>
      <c r="F5" s="281"/>
      <c r="G5" s="281"/>
      <c r="H5" s="281"/>
    </row>
    <row r="6" spans="1:8" x14ac:dyDescent="0.25">
      <c r="B6" s="7"/>
      <c r="C6" s="281"/>
      <c r="D6" s="281"/>
      <c r="E6" s="281"/>
      <c r="F6" s="281"/>
      <c r="G6" s="281"/>
      <c r="H6" s="281"/>
    </row>
    <row r="7" spans="1:8" x14ac:dyDescent="0.25">
      <c r="B7" s="7"/>
      <c r="C7" s="7"/>
      <c r="D7" s="7"/>
      <c r="E7" s="8"/>
      <c r="F7" s="7"/>
    </row>
    <row r="8" spans="1:8" ht="13.5" thickBot="1" x14ac:dyDescent="0.3">
      <c r="B8" s="7"/>
      <c r="C8" s="7"/>
      <c r="D8" s="7"/>
      <c r="E8" s="8"/>
      <c r="F8" s="7"/>
    </row>
    <row r="9" spans="1:8" ht="13.5" thickTop="1" x14ac:dyDescent="0.25">
      <c r="B9" s="9" t="s">
        <v>32</v>
      </c>
      <c r="C9" s="10"/>
      <c r="D9" s="7"/>
      <c r="E9" s="8"/>
      <c r="F9" s="7"/>
    </row>
    <row r="10" spans="1:8" x14ac:dyDescent="0.25">
      <c r="B10" s="11" t="s">
        <v>33</v>
      </c>
      <c r="C10" s="12">
        <v>1</v>
      </c>
      <c r="D10" s="7"/>
      <c r="E10" s="8"/>
      <c r="F10" s="7"/>
    </row>
    <row r="11" spans="1:8" x14ac:dyDescent="0.25">
      <c r="B11" s="11" t="s">
        <v>34</v>
      </c>
      <c r="C11" s="12">
        <v>0</v>
      </c>
      <c r="D11" s="7"/>
      <c r="E11" s="8"/>
      <c r="F11" s="7"/>
    </row>
    <row r="12" spans="1:8" ht="24.75" customHeight="1" x14ac:dyDescent="0.25">
      <c r="A12" s="13" t="s">
        <v>167</v>
      </c>
      <c r="B12" s="14" t="s">
        <v>35</v>
      </c>
      <c r="C12" s="15">
        <f>SUM(C10:C11)</f>
        <v>1</v>
      </c>
      <c r="D12" s="7"/>
      <c r="E12" s="8"/>
      <c r="F12" s="7"/>
    </row>
    <row r="13" spans="1:8" ht="37.5" customHeight="1" x14ac:dyDescent="0.25">
      <c r="A13" s="6" t="s">
        <v>166</v>
      </c>
      <c r="B13" s="16" t="s">
        <v>36</v>
      </c>
      <c r="C13" s="17" t="s">
        <v>37</v>
      </c>
      <c r="D13" s="7"/>
      <c r="E13" s="8"/>
      <c r="F13" s="7"/>
    </row>
    <row r="14" spans="1:8" ht="25.5" x14ac:dyDescent="0.25">
      <c r="B14" s="16" t="s">
        <v>38</v>
      </c>
      <c r="C14" s="17" t="s">
        <v>39</v>
      </c>
      <c r="D14" s="7"/>
      <c r="E14" s="8"/>
      <c r="F14" s="7"/>
    </row>
    <row r="15" spans="1:8" x14ac:dyDescent="0.25">
      <c r="B15" s="16" t="s">
        <v>40</v>
      </c>
      <c r="C15" s="102">
        <v>42818</v>
      </c>
      <c r="D15" s="7"/>
      <c r="E15" s="8"/>
      <c r="F15" s="7"/>
    </row>
    <row r="16" spans="1:8" x14ac:dyDescent="0.25">
      <c r="B16" s="11" t="s">
        <v>41</v>
      </c>
      <c r="C16" s="18">
        <v>1212.79</v>
      </c>
      <c r="D16" s="7"/>
      <c r="E16" s="19"/>
      <c r="F16" s="7"/>
    </row>
    <row r="17" spans="1:6" ht="13.5" thickBot="1" x14ac:dyDescent="0.3">
      <c r="B17" s="20" t="s">
        <v>43</v>
      </c>
      <c r="C17" s="21">
        <f>SUM(C16)</f>
        <v>1212.79</v>
      </c>
      <c r="D17" s="7"/>
      <c r="E17" s="8"/>
      <c r="F17" s="7"/>
    </row>
    <row r="18" spans="1:6" ht="14.25" thickTop="1" thickBot="1" x14ac:dyDescent="0.3">
      <c r="B18" s="7"/>
      <c r="C18" s="7"/>
      <c r="D18" s="7"/>
      <c r="E18" s="8"/>
      <c r="F18" s="7"/>
    </row>
    <row r="19" spans="1:6" ht="14.25" thickTop="1" thickBot="1" x14ac:dyDescent="0.3">
      <c r="B19" s="22" t="s">
        <v>44</v>
      </c>
      <c r="C19" s="23"/>
      <c r="D19" s="24"/>
      <c r="E19" s="8"/>
      <c r="F19" s="7"/>
    </row>
    <row r="20" spans="1:6" ht="13.5" thickTop="1" x14ac:dyDescent="0.25">
      <c r="A20" s="13" t="s">
        <v>45</v>
      </c>
      <c r="B20" s="25" t="s">
        <v>46</v>
      </c>
      <c r="C20" s="26" t="s">
        <v>47</v>
      </c>
      <c r="D20" s="27" t="s">
        <v>48</v>
      </c>
      <c r="E20" s="8"/>
      <c r="F20" s="7"/>
    </row>
    <row r="21" spans="1:6" x14ac:dyDescent="0.25">
      <c r="A21" s="6">
        <v>1</v>
      </c>
      <c r="B21" s="28" t="s">
        <v>49</v>
      </c>
      <c r="C21" s="29">
        <f>C$17*D21</f>
        <v>242.55799999999999</v>
      </c>
      <c r="D21" s="30">
        <f>'[1]Alíquotas MPOG'!C6</f>
        <v>0.2</v>
      </c>
      <c r="E21" s="8"/>
      <c r="F21" s="7"/>
    </row>
    <row r="22" spans="1:6" x14ac:dyDescent="0.25">
      <c r="A22" s="6">
        <v>2</v>
      </c>
      <c r="B22" s="28" t="s">
        <v>50</v>
      </c>
      <c r="C22" s="29">
        <f t="shared" ref="C22:C28" si="0">C$17*D22</f>
        <v>18.191849999999999</v>
      </c>
      <c r="D22" s="30">
        <f>'[1]Alíquotas MPOG'!C7</f>
        <v>1.4999999999999999E-2</v>
      </c>
      <c r="E22" s="8"/>
      <c r="F22" s="7"/>
    </row>
    <row r="23" spans="1:6" x14ac:dyDescent="0.25">
      <c r="A23" s="6">
        <v>3</v>
      </c>
      <c r="B23" s="28" t="s">
        <v>51</v>
      </c>
      <c r="C23" s="29">
        <f t="shared" si="0"/>
        <v>12.1279</v>
      </c>
      <c r="D23" s="30">
        <f>'[1]Alíquotas MPOG'!C8</f>
        <v>0.01</v>
      </c>
      <c r="E23" s="8"/>
      <c r="F23" s="7"/>
    </row>
    <row r="24" spans="1:6" x14ac:dyDescent="0.25">
      <c r="A24" s="6">
        <v>4</v>
      </c>
      <c r="B24" s="28" t="s">
        <v>52</v>
      </c>
      <c r="C24" s="29">
        <f t="shared" si="0"/>
        <v>2.4255800000000001</v>
      </c>
      <c r="D24" s="30">
        <f>'[1]Alíquotas MPOG'!C9</f>
        <v>2E-3</v>
      </c>
      <c r="E24" s="8"/>
      <c r="F24" s="7"/>
    </row>
    <row r="25" spans="1:6" x14ac:dyDescent="0.25">
      <c r="A25" s="6">
        <v>5</v>
      </c>
      <c r="B25" s="28" t="s">
        <v>53</v>
      </c>
      <c r="C25" s="29">
        <f t="shared" si="0"/>
        <v>30.319749999999999</v>
      </c>
      <c r="D25" s="30">
        <f>'[1]Alíquotas MPOG'!C10</f>
        <v>2.5000000000000001E-2</v>
      </c>
      <c r="E25" s="8"/>
      <c r="F25" s="7"/>
    </row>
    <row r="26" spans="1:6" x14ac:dyDescent="0.25">
      <c r="A26" s="6">
        <v>6</v>
      </c>
      <c r="B26" s="28" t="s">
        <v>54</v>
      </c>
      <c r="C26" s="29">
        <f t="shared" si="0"/>
        <v>97.023200000000003</v>
      </c>
      <c r="D26" s="30">
        <f>'[1]Alíquotas MPOG'!C11</f>
        <v>0.08</v>
      </c>
      <c r="E26" s="8"/>
      <c r="F26" s="7"/>
    </row>
    <row r="27" spans="1:6" x14ac:dyDescent="0.25">
      <c r="A27" s="6">
        <v>7</v>
      </c>
      <c r="B27" s="28" t="s">
        <v>55</v>
      </c>
      <c r="C27" s="29">
        <f t="shared" si="0"/>
        <v>24.255800000000001</v>
      </c>
      <c r="D27" s="30">
        <f>'[1]Alíquotas MPOG'!C12</f>
        <v>0.02</v>
      </c>
      <c r="E27" s="8"/>
      <c r="F27" s="7"/>
    </row>
    <row r="28" spans="1:6" x14ac:dyDescent="0.25">
      <c r="A28" s="6">
        <v>8</v>
      </c>
      <c r="B28" s="28" t="s">
        <v>56</v>
      </c>
      <c r="C28" s="29">
        <f t="shared" si="0"/>
        <v>7.2767400000000002</v>
      </c>
      <c r="D28" s="30">
        <f>'[1]Alíquotas MPOG'!C13</f>
        <v>6.0000000000000001E-3</v>
      </c>
      <c r="E28" s="8"/>
      <c r="F28" s="7"/>
    </row>
    <row r="29" spans="1:6" ht="13.5" thickBot="1" x14ac:dyDescent="0.3">
      <c r="B29" s="31" t="s">
        <v>57</v>
      </c>
      <c r="C29" s="32">
        <f>SUM(C21:C28)</f>
        <v>434.17882000000009</v>
      </c>
      <c r="D29" s="33">
        <f>C29/C$17</f>
        <v>0.3580000000000001</v>
      </c>
      <c r="E29" s="8"/>
      <c r="F29" s="7"/>
    </row>
    <row r="30" spans="1:6" ht="13.5" thickTop="1" x14ac:dyDescent="0.25">
      <c r="A30" s="13" t="s">
        <v>58</v>
      </c>
      <c r="B30" s="25" t="s">
        <v>59</v>
      </c>
      <c r="C30" s="26" t="s">
        <v>47</v>
      </c>
      <c r="D30" s="27" t="s">
        <v>48</v>
      </c>
      <c r="E30" s="8"/>
      <c r="F30" s="7"/>
    </row>
    <row r="31" spans="1:6" x14ac:dyDescent="0.25">
      <c r="A31" s="6">
        <v>9</v>
      </c>
      <c r="B31" s="28" t="s">
        <v>254</v>
      </c>
      <c r="C31" s="29">
        <f t="shared" ref="C31:C36" si="1">C$17*D31</f>
        <v>33.715561999999998</v>
      </c>
      <c r="D31" s="30">
        <v>2.7799999999999998E-2</v>
      </c>
      <c r="E31" s="8"/>
      <c r="F31" s="7"/>
    </row>
    <row r="32" spans="1:6" x14ac:dyDescent="0.25">
      <c r="A32" s="6">
        <v>10</v>
      </c>
      <c r="B32" s="28" t="s">
        <v>61</v>
      </c>
      <c r="C32" s="29">
        <f t="shared" si="1"/>
        <v>101.025407</v>
      </c>
      <c r="D32" s="30">
        <f>'[1]Alíquotas MPOG'!C17</f>
        <v>8.3299999999999999E-2</v>
      </c>
      <c r="E32" s="8"/>
      <c r="F32" s="7"/>
    </row>
    <row r="33" spans="1:7" x14ac:dyDescent="0.25">
      <c r="A33" s="6">
        <v>11</v>
      </c>
      <c r="B33" s="28" t="s">
        <v>62</v>
      </c>
      <c r="C33" s="29">
        <f t="shared" si="1"/>
        <v>20.132314000000001</v>
      </c>
      <c r="D33" s="30">
        <f>'[1]Alíquotas MPOG'!C18</f>
        <v>1.66E-2</v>
      </c>
      <c r="E33" s="8"/>
      <c r="F33" s="34"/>
    </row>
    <row r="34" spans="1:7" x14ac:dyDescent="0.25">
      <c r="A34" s="6">
        <v>12</v>
      </c>
      <c r="B34" s="28" t="s">
        <v>63</v>
      </c>
      <c r="C34" s="29">
        <f t="shared" si="1"/>
        <v>0.242558</v>
      </c>
      <c r="D34" s="30">
        <f>'[1]Alíquotas MPOG'!C20</f>
        <v>2.0000000000000001E-4</v>
      </c>
      <c r="E34" s="8"/>
      <c r="F34" s="7"/>
    </row>
    <row r="35" spans="1:7" x14ac:dyDescent="0.25">
      <c r="A35" s="6">
        <v>13</v>
      </c>
      <c r="B35" s="28" t="s">
        <v>64</v>
      </c>
      <c r="C35" s="29">
        <f t="shared" si="1"/>
        <v>3.2745329999999999</v>
      </c>
      <c r="D35" s="30">
        <f>'[1]Alíquotas MPOG'!C19</f>
        <v>2.7000000000000001E-3</v>
      </c>
      <c r="E35" s="8"/>
      <c r="F35" s="34"/>
      <c r="G35" s="35"/>
    </row>
    <row r="36" spans="1:7" x14ac:dyDescent="0.25">
      <c r="A36" s="6">
        <v>14</v>
      </c>
      <c r="B36" s="36" t="s">
        <v>65</v>
      </c>
      <c r="C36" s="37">
        <f t="shared" si="1"/>
        <v>3.3958119999999998</v>
      </c>
      <c r="D36" s="38">
        <f>'[1]Alíquotas MPOG'!C21</f>
        <v>2.8E-3</v>
      </c>
      <c r="E36" s="8"/>
      <c r="F36" s="34"/>
      <c r="G36" s="35"/>
    </row>
    <row r="37" spans="1:7" ht="13.5" thickBot="1" x14ac:dyDescent="0.3">
      <c r="B37" s="31" t="s">
        <v>66</v>
      </c>
      <c r="C37" s="32">
        <f>SUM(C31:C36)</f>
        <v>161.78618600000001</v>
      </c>
      <c r="D37" s="33">
        <f>C37/C$17</f>
        <v>0.13340000000000002</v>
      </c>
      <c r="E37" s="8"/>
      <c r="F37" s="7"/>
    </row>
    <row r="38" spans="1:7" ht="14.25" thickTop="1" thickBot="1" x14ac:dyDescent="0.3">
      <c r="A38" s="13" t="s">
        <v>67</v>
      </c>
      <c r="B38" s="39" t="s">
        <v>68</v>
      </c>
      <c r="C38" s="40">
        <f>C37*D29</f>
        <v>57.919454588000022</v>
      </c>
      <c r="D38" s="41">
        <f>C38/C$17</f>
        <v>4.775720000000002E-2</v>
      </c>
      <c r="E38" s="8"/>
      <c r="F38" s="7"/>
    </row>
    <row r="39" spans="1:7" ht="13.5" thickTop="1" x14ac:dyDescent="0.25">
      <c r="A39" s="13" t="s">
        <v>69</v>
      </c>
      <c r="B39" s="25" t="s">
        <v>70</v>
      </c>
      <c r="C39" s="26" t="s">
        <v>47</v>
      </c>
      <c r="D39" s="27" t="s">
        <v>48</v>
      </c>
      <c r="E39" s="8"/>
      <c r="F39" s="7"/>
    </row>
    <row r="40" spans="1:7" x14ac:dyDescent="0.25">
      <c r="A40" s="6">
        <v>15</v>
      </c>
      <c r="B40" s="28" t="s">
        <v>71</v>
      </c>
      <c r="C40" s="29">
        <f>C$17*D40</f>
        <v>33.715561999999998</v>
      </c>
      <c r="D40" s="30">
        <f>'[1]Alíquotas MPOG'!C23</f>
        <v>2.7799999999999998E-2</v>
      </c>
      <c r="E40" s="8"/>
      <c r="F40" s="7"/>
    </row>
    <row r="41" spans="1:7" x14ac:dyDescent="0.25">
      <c r="A41" s="6">
        <v>16</v>
      </c>
      <c r="B41" s="42" t="s">
        <v>72</v>
      </c>
      <c r="C41" s="43">
        <f>C$17*D41</f>
        <v>30.319749999999999</v>
      </c>
      <c r="D41" s="44">
        <f>'[1]Alíquotas MPOG'!C24</f>
        <v>2.5000000000000001E-2</v>
      </c>
      <c r="E41" s="8"/>
      <c r="F41" s="7"/>
    </row>
    <row r="42" spans="1:7" x14ac:dyDescent="0.25">
      <c r="A42" s="13" t="s">
        <v>73</v>
      </c>
      <c r="B42" s="45" t="s">
        <v>74</v>
      </c>
      <c r="C42" s="46">
        <f>(C40+C41)*D29</f>
        <v>22.924641696000009</v>
      </c>
      <c r="D42" s="47">
        <f>C42/C$17</f>
        <v>1.8902400000000007E-2</v>
      </c>
      <c r="E42" s="8"/>
      <c r="F42" s="7"/>
    </row>
    <row r="43" spans="1:7" x14ac:dyDescent="0.25">
      <c r="A43" s="6">
        <v>17</v>
      </c>
      <c r="B43" s="48" t="s">
        <v>75</v>
      </c>
      <c r="C43" s="49">
        <f>C$17*D43</f>
        <v>34.928351999999997</v>
      </c>
      <c r="D43" s="50">
        <f>'[1]Alíquotas MPOG'!C25</f>
        <v>2.8799999999999999E-2</v>
      </c>
      <c r="E43" s="8"/>
      <c r="F43" s="7"/>
    </row>
    <row r="44" spans="1:7" ht="13.5" thickBot="1" x14ac:dyDescent="0.3">
      <c r="B44" s="51" t="s">
        <v>76</v>
      </c>
      <c r="C44" s="52">
        <f>SUM(C40:C43)</f>
        <v>121.888305696</v>
      </c>
      <c r="D44" s="53">
        <f>C44/C$17</f>
        <v>0.10050240000000001</v>
      </c>
      <c r="E44" s="8"/>
      <c r="F44" s="7"/>
    </row>
    <row r="45" spans="1:7" ht="14.25" thickTop="1" thickBot="1" x14ac:dyDescent="0.3">
      <c r="B45" s="7"/>
      <c r="C45" s="7"/>
      <c r="D45" s="7"/>
      <c r="E45" s="8"/>
      <c r="F45" s="7"/>
    </row>
    <row r="46" spans="1:7" ht="14.25" thickTop="1" thickBot="1" x14ac:dyDescent="0.3">
      <c r="A46" s="13"/>
      <c r="B46" s="54" t="s">
        <v>77</v>
      </c>
      <c r="C46" s="40">
        <f>C29+C37+C38+C44</f>
        <v>775.77276628400011</v>
      </c>
      <c r="D46" s="41">
        <f>C46/C$17</f>
        <v>0.63965960000000011</v>
      </c>
      <c r="E46" s="8"/>
      <c r="F46" s="7"/>
    </row>
    <row r="47" spans="1:7" ht="14.25" thickTop="1" thickBot="1" x14ac:dyDescent="0.3">
      <c r="B47" s="7"/>
      <c r="C47" s="55"/>
      <c r="D47" s="7"/>
      <c r="E47" s="8"/>
      <c r="F47" s="7"/>
    </row>
    <row r="48" spans="1:7" ht="14.25" thickTop="1" thickBot="1" x14ac:dyDescent="0.3">
      <c r="B48" s="22" t="s">
        <v>78</v>
      </c>
      <c r="C48" s="23"/>
      <c r="D48" s="23"/>
      <c r="E48" s="24"/>
      <c r="F48" s="7"/>
    </row>
    <row r="49" spans="1:9" ht="13.5" thickTop="1" x14ac:dyDescent="0.25">
      <c r="A49" s="13" t="s">
        <v>79</v>
      </c>
      <c r="B49" s="25" t="s">
        <v>80</v>
      </c>
      <c r="C49" s="26" t="s">
        <v>47</v>
      </c>
      <c r="D49" s="56" t="s">
        <v>81</v>
      </c>
      <c r="E49" s="57" t="s">
        <v>82</v>
      </c>
      <c r="F49" s="7"/>
    </row>
    <row r="50" spans="1:9" x14ac:dyDescent="0.25">
      <c r="A50" s="6">
        <v>22</v>
      </c>
      <c r="B50" s="58" t="s">
        <v>234</v>
      </c>
      <c r="C50" s="29">
        <v>171.6</v>
      </c>
      <c r="D50" s="59">
        <v>0</v>
      </c>
      <c r="E50" s="60">
        <v>171.6</v>
      </c>
      <c r="F50" s="7"/>
    </row>
    <row r="51" spans="1:9" x14ac:dyDescent="0.25">
      <c r="A51" s="6">
        <v>23</v>
      </c>
      <c r="B51" s="58" t="s">
        <v>83</v>
      </c>
      <c r="C51" s="29">
        <f>D51*E51</f>
        <v>130</v>
      </c>
      <c r="D51" s="59">
        <v>1</v>
      </c>
      <c r="E51" s="60">
        <v>130</v>
      </c>
      <c r="F51" s="7"/>
    </row>
    <row r="52" spans="1:9" ht="15" customHeight="1" x14ac:dyDescent="0.25">
      <c r="B52" s="58" t="s">
        <v>235</v>
      </c>
      <c r="C52" s="144">
        <v>214.65</v>
      </c>
      <c r="D52" s="145"/>
      <c r="E52" s="146">
        <v>214.65</v>
      </c>
      <c r="F52" s="282"/>
      <c r="G52" s="283"/>
      <c r="H52" s="283"/>
    </row>
    <row r="53" spans="1:9" x14ac:dyDescent="0.25">
      <c r="A53" s="6">
        <v>24</v>
      </c>
      <c r="B53" s="58" t="s">
        <v>84</v>
      </c>
      <c r="C53" s="29">
        <f>D53*E53/12</f>
        <v>23.333333333333332</v>
      </c>
      <c r="D53" s="59">
        <v>2</v>
      </c>
      <c r="E53" s="60">
        <v>140</v>
      </c>
      <c r="F53" s="7"/>
    </row>
    <row r="54" spans="1:9" x14ac:dyDescent="0.25">
      <c r="A54" s="6">
        <v>25</v>
      </c>
      <c r="B54" s="58" t="s">
        <v>85</v>
      </c>
      <c r="C54" s="29">
        <f>D54*E54</f>
        <v>20</v>
      </c>
      <c r="D54" s="59">
        <v>1</v>
      </c>
      <c r="E54" s="60">
        <v>20</v>
      </c>
      <c r="F54" s="7"/>
    </row>
    <row r="55" spans="1:9" x14ac:dyDescent="0.25">
      <c r="A55" s="6">
        <v>26</v>
      </c>
      <c r="B55" s="58" t="s">
        <v>86</v>
      </c>
      <c r="C55" s="29">
        <f>D55*E55/12</f>
        <v>66.666666666666671</v>
      </c>
      <c r="D55" s="59">
        <v>4</v>
      </c>
      <c r="E55" s="60">
        <v>200</v>
      </c>
      <c r="F55" s="7"/>
    </row>
    <row r="56" spans="1:9" x14ac:dyDescent="0.25">
      <c r="B56" s="217" t="s">
        <v>253</v>
      </c>
      <c r="C56" s="218">
        <f>E56/6</f>
        <v>76.666666666666671</v>
      </c>
      <c r="D56" s="219"/>
      <c r="E56" s="220">
        <v>460</v>
      </c>
      <c r="F56" s="282"/>
      <c r="G56" s="283"/>
      <c r="H56" s="283"/>
      <c r="I56" s="283"/>
    </row>
    <row r="57" spans="1:9" ht="13.5" thickBot="1" x14ac:dyDescent="0.3">
      <c r="B57" s="31" t="s">
        <v>87</v>
      </c>
      <c r="C57" s="32">
        <f>SUM(C50:C56)</f>
        <v>702.91666666666663</v>
      </c>
      <c r="D57" s="61">
        <f>C57/C$17</f>
        <v>0.57958646316894658</v>
      </c>
      <c r="E57" s="62"/>
      <c r="F57" s="7"/>
    </row>
    <row r="58" spans="1:9" ht="14.25" thickTop="1" thickBot="1" x14ac:dyDescent="0.3">
      <c r="B58" s="7"/>
      <c r="C58" s="7"/>
      <c r="D58" s="7"/>
      <c r="E58" s="8"/>
      <c r="F58" s="7"/>
    </row>
    <row r="59" spans="1:9" ht="14.25" thickTop="1" thickBot="1" x14ac:dyDescent="0.3">
      <c r="A59" s="13"/>
      <c r="B59" s="54" t="s">
        <v>88</v>
      </c>
      <c r="C59" s="63">
        <f>C17+C46+C57</f>
        <v>2691.4794329506667</v>
      </c>
      <c r="D59" s="64" t="s">
        <v>89</v>
      </c>
      <c r="E59" s="8"/>
      <c r="F59" s="7"/>
    </row>
    <row r="60" spans="1:9" ht="14.25" thickTop="1" thickBot="1" x14ac:dyDescent="0.3">
      <c r="A60" s="13"/>
      <c r="B60" s="54" t="s">
        <v>90</v>
      </c>
      <c r="C60" s="63">
        <f>C59*C12</f>
        <v>2691.4794329506667</v>
      </c>
      <c r="D60" s="65">
        <f>C60/[1]DEMANDA!B$33</f>
        <v>7.5459219270793618E-2</v>
      </c>
      <c r="E60" s="8"/>
      <c r="F60" s="7"/>
    </row>
    <row r="61" spans="1:9" ht="111.75" customHeight="1" thickTop="1" x14ac:dyDescent="0.25">
      <c r="B61" s="7"/>
      <c r="C61" s="7"/>
      <c r="D61" s="7"/>
      <c r="E61" s="8"/>
      <c r="F61" s="7"/>
    </row>
    <row r="62" spans="1:9" ht="111.75" customHeight="1" thickBot="1" x14ac:dyDescent="0.3">
      <c r="B62" s="7"/>
      <c r="C62" s="7"/>
      <c r="D62" s="7"/>
      <c r="E62" s="8"/>
      <c r="F62" s="7"/>
    </row>
    <row r="63" spans="1:9" ht="13.5" thickTop="1" x14ac:dyDescent="0.25">
      <c r="B63" s="9" t="s">
        <v>91</v>
      </c>
      <c r="C63" s="66"/>
      <c r="D63" s="7"/>
      <c r="E63" s="8"/>
      <c r="F63" s="67"/>
    </row>
    <row r="64" spans="1:9" x14ac:dyDescent="0.25">
      <c r="B64" s="11" t="s">
        <v>92</v>
      </c>
      <c r="C64" s="68">
        <v>1</v>
      </c>
      <c r="D64" s="7"/>
      <c r="E64" s="8"/>
      <c r="F64" s="7"/>
    </row>
    <row r="65" spans="1:6" x14ac:dyDescent="0.25">
      <c r="B65" s="11" t="s">
        <v>93</v>
      </c>
      <c r="C65" s="68">
        <v>0</v>
      </c>
      <c r="D65" s="7"/>
      <c r="E65" s="8"/>
      <c r="F65" s="7"/>
    </row>
    <row r="66" spans="1:6" x14ac:dyDescent="0.25">
      <c r="A66" s="13" t="s">
        <v>94</v>
      </c>
      <c r="B66" s="14" t="s">
        <v>95</v>
      </c>
      <c r="C66" s="69">
        <f>SUM(C64:C65)</f>
        <v>1</v>
      </c>
      <c r="D66" s="7"/>
      <c r="E66" s="8"/>
      <c r="F66" s="7"/>
    </row>
    <row r="67" spans="1:6" ht="51" x14ac:dyDescent="0.25">
      <c r="B67" s="16" t="s">
        <v>36</v>
      </c>
      <c r="C67" s="17" t="s">
        <v>37</v>
      </c>
      <c r="D67" s="7"/>
      <c r="E67" s="8"/>
      <c r="F67" s="7"/>
    </row>
    <row r="68" spans="1:6" x14ac:dyDescent="0.25">
      <c r="B68" s="16" t="s">
        <v>38</v>
      </c>
      <c r="C68" s="17" t="s">
        <v>96</v>
      </c>
      <c r="D68" s="7"/>
      <c r="E68" s="8"/>
      <c r="F68" s="7"/>
    </row>
    <row r="69" spans="1:6" x14ac:dyDescent="0.25">
      <c r="B69" s="16" t="s">
        <v>40</v>
      </c>
      <c r="C69" s="102">
        <v>42818</v>
      </c>
      <c r="D69" s="7"/>
      <c r="E69" s="8"/>
      <c r="F69" s="7"/>
    </row>
    <row r="70" spans="1:6" x14ac:dyDescent="0.25">
      <c r="B70" s="11" t="s">
        <v>41</v>
      </c>
      <c r="C70" s="70">
        <v>954</v>
      </c>
      <c r="D70" s="7"/>
      <c r="E70" s="8"/>
      <c r="F70" s="7"/>
    </row>
    <row r="71" spans="1:6" x14ac:dyDescent="0.25">
      <c r="B71" s="11" t="s">
        <v>42</v>
      </c>
      <c r="C71" s="70">
        <v>0</v>
      </c>
      <c r="D71" s="7"/>
      <c r="E71" s="8"/>
      <c r="F71" s="7"/>
    </row>
    <row r="72" spans="1:6" ht="13.5" thickBot="1" x14ac:dyDescent="0.3">
      <c r="B72" s="20" t="s">
        <v>43</v>
      </c>
      <c r="C72" s="71">
        <f>C70+C71</f>
        <v>954</v>
      </c>
      <c r="D72" s="7"/>
      <c r="E72" s="8"/>
      <c r="F72" s="7"/>
    </row>
    <row r="73" spans="1:6" ht="14.25" thickTop="1" thickBot="1" x14ac:dyDescent="0.3">
      <c r="B73" s="7"/>
      <c r="C73" s="7"/>
      <c r="D73" s="7"/>
      <c r="E73" s="8"/>
      <c r="F73" s="7"/>
    </row>
    <row r="74" spans="1:6" ht="14.25" thickTop="1" thickBot="1" x14ac:dyDescent="0.3">
      <c r="B74" s="22" t="s">
        <v>97</v>
      </c>
      <c r="C74" s="23"/>
      <c r="D74" s="24"/>
      <c r="E74" s="8"/>
      <c r="F74" s="7"/>
    </row>
    <row r="75" spans="1:6" ht="13.5" thickTop="1" x14ac:dyDescent="0.25">
      <c r="A75" s="13" t="s">
        <v>45</v>
      </c>
      <c r="B75" s="25" t="s">
        <v>46</v>
      </c>
      <c r="C75" s="26" t="s">
        <v>47</v>
      </c>
      <c r="D75" s="27" t="s">
        <v>48</v>
      </c>
      <c r="E75" s="8"/>
      <c r="F75" s="7"/>
    </row>
    <row r="76" spans="1:6" x14ac:dyDescent="0.25">
      <c r="A76" s="6">
        <v>1</v>
      </c>
      <c r="B76" s="28" t="s">
        <v>49</v>
      </c>
      <c r="C76" s="29">
        <f>C$72*D76</f>
        <v>190.8</v>
      </c>
      <c r="D76" s="30">
        <f t="shared" ref="D76:D83" si="2">D21</f>
        <v>0.2</v>
      </c>
      <c r="E76" s="8"/>
      <c r="F76" s="7"/>
    </row>
    <row r="77" spans="1:6" x14ac:dyDescent="0.25">
      <c r="A77" s="6">
        <v>2</v>
      </c>
      <c r="B77" s="28" t="s">
        <v>50</v>
      </c>
      <c r="C77" s="29">
        <f t="shared" ref="C77:C83" si="3">C$72*D77</f>
        <v>14.309999999999999</v>
      </c>
      <c r="D77" s="30">
        <f t="shared" si="2"/>
        <v>1.4999999999999999E-2</v>
      </c>
      <c r="E77" s="8"/>
      <c r="F77" s="7"/>
    </row>
    <row r="78" spans="1:6" x14ac:dyDescent="0.25">
      <c r="A78" s="6">
        <v>3</v>
      </c>
      <c r="B78" s="28" t="s">
        <v>51</v>
      </c>
      <c r="C78" s="29">
        <f t="shared" si="3"/>
        <v>9.5400000000000009</v>
      </c>
      <c r="D78" s="30">
        <f t="shared" si="2"/>
        <v>0.01</v>
      </c>
      <c r="E78" s="8"/>
      <c r="F78" s="7"/>
    </row>
    <row r="79" spans="1:6" x14ac:dyDescent="0.25">
      <c r="A79" s="6">
        <v>4</v>
      </c>
      <c r="B79" s="28" t="s">
        <v>52</v>
      </c>
      <c r="C79" s="29">
        <f t="shared" si="3"/>
        <v>1.9080000000000001</v>
      </c>
      <c r="D79" s="30">
        <f t="shared" si="2"/>
        <v>2E-3</v>
      </c>
      <c r="E79" s="8"/>
      <c r="F79" s="7"/>
    </row>
    <row r="80" spans="1:6" x14ac:dyDescent="0.25">
      <c r="A80" s="6">
        <v>5</v>
      </c>
      <c r="B80" s="28" t="s">
        <v>53</v>
      </c>
      <c r="C80" s="29">
        <f t="shared" si="3"/>
        <v>23.85</v>
      </c>
      <c r="D80" s="30">
        <f t="shared" si="2"/>
        <v>2.5000000000000001E-2</v>
      </c>
      <c r="E80" s="8"/>
      <c r="F80" s="7"/>
    </row>
    <row r="81" spans="1:6" x14ac:dyDescent="0.25">
      <c r="A81" s="6">
        <v>6</v>
      </c>
      <c r="B81" s="28" t="s">
        <v>54</v>
      </c>
      <c r="C81" s="29">
        <f t="shared" si="3"/>
        <v>76.320000000000007</v>
      </c>
      <c r="D81" s="30">
        <f t="shared" si="2"/>
        <v>0.08</v>
      </c>
      <c r="E81" s="8"/>
      <c r="F81" s="7"/>
    </row>
    <row r="82" spans="1:6" x14ac:dyDescent="0.25">
      <c r="A82" s="6">
        <v>7</v>
      </c>
      <c r="B82" s="28" t="s">
        <v>55</v>
      </c>
      <c r="C82" s="29">
        <f t="shared" si="3"/>
        <v>19.080000000000002</v>
      </c>
      <c r="D82" s="30">
        <f t="shared" si="2"/>
        <v>0.02</v>
      </c>
      <c r="E82" s="8"/>
      <c r="F82" s="7"/>
    </row>
    <row r="83" spans="1:6" x14ac:dyDescent="0.25">
      <c r="A83" s="6">
        <v>8</v>
      </c>
      <c r="B83" s="28" t="s">
        <v>56</v>
      </c>
      <c r="C83" s="29">
        <f t="shared" si="3"/>
        <v>5.7240000000000002</v>
      </c>
      <c r="D83" s="30">
        <f t="shared" si="2"/>
        <v>6.0000000000000001E-3</v>
      </c>
      <c r="E83" s="8"/>
      <c r="F83" s="7"/>
    </row>
    <row r="84" spans="1:6" ht="13.5" thickBot="1" x14ac:dyDescent="0.3">
      <c r="B84" s="31" t="s">
        <v>57</v>
      </c>
      <c r="C84" s="32">
        <f>SUM(C76:C83)</f>
        <v>341.53199999999998</v>
      </c>
      <c r="D84" s="33">
        <f>C84/C$72</f>
        <v>0.35799999999999998</v>
      </c>
      <c r="E84" s="8"/>
      <c r="F84" s="7"/>
    </row>
    <row r="85" spans="1:6" ht="13.5" thickTop="1" x14ac:dyDescent="0.25">
      <c r="A85" s="13" t="s">
        <v>58</v>
      </c>
      <c r="B85" s="25" t="s">
        <v>59</v>
      </c>
      <c r="C85" s="26" t="s">
        <v>47</v>
      </c>
      <c r="D85" s="27" t="s">
        <v>48</v>
      </c>
      <c r="E85" s="8"/>
      <c r="F85" s="7"/>
    </row>
    <row r="86" spans="1:6" x14ac:dyDescent="0.25">
      <c r="A86" s="6">
        <v>9</v>
      </c>
      <c r="B86" s="28" t="s">
        <v>255</v>
      </c>
      <c r="C86" s="29">
        <f t="shared" ref="C86:C91" si="4">C$72*D86</f>
        <v>26.521199999999997</v>
      </c>
      <c r="D86" s="30">
        <f t="shared" ref="D86:D91" si="5">D31</f>
        <v>2.7799999999999998E-2</v>
      </c>
      <c r="E86" s="8"/>
      <c r="F86" s="7"/>
    </row>
    <row r="87" spans="1:6" x14ac:dyDescent="0.25">
      <c r="A87" s="6">
        <v>10</v>
      </c>
      <c r="B87" s="28" t="s">
        <v>61</v>
      </c>
      <c r="C87" s="29">
        <f t="shared" si="4"/>
        <v>79.468199999999996</v>
      </c>
      <c r="D87" s="30">
        <f t="shared" si="5"/>
        <v>8.3299999999999999E-2</v>
      </c>
      <c r="E87" s="8"/>
      <c r="F87" s="7"/>
    </row>
    <row r="88" spans="1:6" x14ac:dyDescent="0.25">
      <c r="A88" s="6">
        <v>11</v>
      </c>
      <c r="B88" s="28" t="s">
        <v>62</v>
      </c>
      <c r="C88" s="29">
        <f t="shared" si="4"/>
        <v>15.836399999999999</v>
      </c>
      <c r="D88" s="30">
        <f t="shared" si="5"/>
        <v>1.66E-2</v>
      </c>
      <c r="E88" s="8"/>
      <c r="F88" s="7"/>
    </row>
    <row r="89" spans="1:6" x14ac:dyDescent="0.25">
      <c r="A89" s="6">
        <v>12</v>
      </c>
      <c r="B89" s="28" t="s">
        <v>63</v>
      </c>
      <c r="C89" s="29">
        <f t="shared" si="4"/>
        <v>0.1908</v>
      </c>
      <c r="D89" s="30">
        <f t="shared" si="5"/>
        <v>2.0000000000000001E-4</v>
      </c>
      <c r="E89" s="8"/>
      <c r="F89" s="7"/>
    </row>
    <row r="90" spans="1:6" x14ac:dyDescent="0.25">
      <c r="A90" s="6">
        <v>13</v>
      </c>
      <c r="B90" s="28" t="s">
        <v>64</v>
      </c>
      <c r="C90" s="29">
        <f t="shared" si="4"/>
        <v>2.5758000000000001</v>
      </c>
      <c r="D90" s="30">
        <f t="shared" si="5"/>
        <v>2.7000000000000001E-3</v>
      </c>
      <c r="E90" s="8"/>
      <c r="F90" s="7"/>
    </row>
    <row r="91" spans="1:6" x14ac:dyDescent="0.25">
      <c r="A91" s="6">
        <v>14</v>
      </c>
      <c r="B91" s="36" t="s">
        <v>65</v>
      </c>
      <c r="C91" s="29">
        <f t="shared" si="4"/>
        <v>2.6711999999999998</v>
      </c>
      <c r="D91" s="38">
        <f t="shared" si="5"/>
        <v>2.8E-3</v>
      </c>
      <c r="E91" s="8"/>
      <c r="F91" s="7"/>
    </row>
    <row r="92" spans="1:6" ht="13.5" thickBot="1" x14ac:dyDescent="0.3">
      <c r="B92" s="31" t="s">
        <v>66</v>
      </c>
      <c r="C92" s="32">
        <f>SUM(C86:C91)</f>
        <v>127.26359999999998</v>
      </c>
      <c r="D92" s="33">
        <f>C92/C$72</f>
        <v>0.13339999999999999</v>
      </c>
      <c r="E92" s="8"/>
      <c r="F92" s="7"/>
    </row>
    <row r="93" spans="1:6" ht="14.25" thickTop="1" thickBot="1" x14ac:dyDescent="0.3">
      <c r="A93" s="13" t="s">
        <v>67</v>
      </c>
      <c r="B93" s="39" t="s">
        <v>68</v>
      </c>
      <c r="C93" s="40">
        <f>C92*D84</f>
        <v>45.560368799999992</v>
      </c>
      <c r="D93" s="41">
        <f>C93/C$72</f>
        <v>4.7757199999999993E-2</v>
      </c>
      <c r="E93" s="8"/>
      <c r="F93" s="7"/>
    </row>
    <row r="94" spans="1:6" ht="13.5" thickTop="1" x14ac:dyDescent="0.25">
      <c r="A94" s="13" t="s">
        <v>69</v>
      </c>
      <c r="B94" s="25" t="s">
        <v>70</v>
      </c>
      <c r="C94" s="26" t="s">
        <v>47</v>
      </c>
      <c r="D94" s="27" t="s">
        <v>48</v>
      </c>
      <c r="E94" s="8"/>
      <c r="F94" s="7"/>
    </row>
    <row r="95" spans="1:6" x14ac:dyDescent="0.25">
      <c r="A95" s="6">
        <v>15</v>
      </c>
      <c r="B95" s="28" t="s">
        <v>71</v>
      </c>
      <c r="C95" s="29">
        <f>C$72*D95</f>
        <v>26.521199999999997</v>
      </c>
      <c r="D95" s="30">
        <f>D40</f>
        <v>2.7799999999999998E-2</v>
      </c>
      <c r="E95" s="8"/>
      <c r="F95" s="7"/>
    </row>
    <row r="96" spans="1:6" x14ac:dyDescent="0.25">
      <c r="A96" s="6">
        <v>16</v>
      </c>
      <c r="B96" s="42" t="s">
        <v>72</v>
      </c>
      <c r="C96" s="43">
        <f>C$72*D96</f>
        <v>23.85</v>
      </c>
      <c r="D96" s="44">
        <f>D41</f>
        <v>2.5000000000000001E-2</v>
      </c>
      <c r="E96" s="8"/>
      <c r="F96" s="7"/>
    </row>
    <row r="97" spans="1:6" x14ac:dyDescent="0.25">
      <c r="A97" s="13" t="s">
        <v>73</v>
      </c>
      <c r="B97" s="45" t="s">
        <v>74</v>
      </c>
      <c r="C97" s="46">
        <f>(C95+C96)*D84</f>
        <v>18.032889600000001</v>
      </c>
      <c r="D97" s="47">
        <f>C97/C$72</f>
        <v>1.89024E-2</v>
      </c>
      <c r="E97" s="8"/>
      <c r="F97" s="7"/>
    </row>
    <row r="98" spans="1:6" x14ac:dyDescent="0.25">
      <c r="A98" s="6">
        <v>17</v>
      </c>
      <c r="B98" s="48" t="s">
        <v>75</v>
      </c>
      <c r="C98" s="49">
        <f>C$72*D98</f>
        <v>27.475200000000001</v>
      </c>
      <c r="D98" s="50">
        <f>D43</f>
        <v>2.8799999999999999E-2</v>
      </c>
      <c r="E98" s="8"/>
      <c r="F98" s="7"/>
    </row>
    <row r="99" spans="1:6" ht="13.5" thickBot="1" x14ac:dyDescent="0.3">
      <c r="B99" s="51" t="s">
        <v>76</v>
      </c>
      <c r="C99" s="52">
        <f>SUM(C95:C98)</f>
        <v>95.879289600000007</v>
      </c>
      <c r="D99" s="53">
        <f>C99/C$72</f>
        <v>0.10050240000000001</v>
      </c>
      <c r="E99" s="8"/>
      <c r="F99" s="7"/>
    </row>
    <row r="100" spans="1:6" ht="14.25" thickTop="1" thickBot="1" x14ac:dyDescent="0.3">
      <c r="B100" s="7"/>
      <c r="C100" s="7"/>
      <c r="D100" s="7"/>
      <c r="E100" s="8"/>
      <c r="F100" s="7"/>
    </row>
    <row r="101" spans="1:6" ht="14.25" thickTop="1" thickBot="1" x14ac:dyDescent="0.3">
      <c r="A101" s="13"/>
      <c r="B101" s="54" t="s">
        <v>77</v>
      </c>
      <c r="C101" s="40">
        <f>C84+C92+C93+C99</f>
        <v>610.23525840000002</v>
      </c>
      <c r="D101" s="41">
        <f>C101/C$72</f>
        <v>0.63965959999999999</v>
      </c>
      <c r="E101" s="8"/>
      <c r="F101" s="7"/>
    </row>
    <row r="102" spans="1:6" ht="14.25" thickTop="1" thickBot="1" x14ac:dyDescent="0.3">
      <c r="B102" s="7"/>
      <c r="C102" s="7"/>
      <c r="D102" s="7"/>
      <c r="E102" s="8"/>
      <c r="F102" s="7"/>
    </row>
    <row r="103" spans="1:6" ht="14.25" thickTop="1" thickBot="1" x14ac:dyDescent="0.3">
      <c r="B103" s="22" t="s">
        <v>98</v>
      </c>
      <c r="C103" s="23"/>
      <c r="D103" s="23"/>
      <c r="E103" s="24"/>
      <c r="F103" s="7"/>
    </row>
    <row r="104" spans="1:6" ht="13.5" thickTop="1" x14ac:dyDescent="0.25">
      <c r="A104" s="13" t="s">
        <v>79</v>
      </c>
      <c r="B104" s="25" t="s">
        <v>80</v>
      </c>
      <c r="C104" s="26" t="s">
        <v>47</v>
      </c>
      <c r="D104" s="56" t="s">
        <v>81</v>
      </c>
      <c r="E104" s="57" t="s">
        <v>82</v>
      </c>
      <c r="F104" s="7"/>
    </row>
    <row r="105" spans="1:6" x14ac:dyDescent="0.25">
      <c r="A105" s="6">
        <v>22</v>
      </c>
      <c r="B105" s="58" t="s">
        <v>234</v>
      </c>
      <c r="C105" s="29">
        <v>171.6</v>
      </c>
      <c r="D105" s="72">
        <v>0</v>
      </c>
      <c r="E105" s="73">
        <v>171.6</v>
      </c>
      <c r="F105" s="7"/>
    </row>
    <row r="106" spans="1:6" x14ac:dyDescent="0.25">
      <c r="A106" s="6">
        <v>23</v>
      </c>
      <c r="B106" s="58" t="s">
        <v>83</v>
      </c>
      <c r="C106" s="29">
        <f>D106*E106</f>
        <v>130</v>
      </c>
      <c r="D106" s="72">
        <v>1</v>
      </c>
      <c r="E106" s="73">
        <v>130</v>
      </c>
      <c r="F106" s="7"/>
    </row>
    <row r="107" spans="1:6" x14ac:dyDescent="0.25">
      <c r="B107" s="58" t="s">
        <v>236</v>
      </c>
      <c r="C107" s="29">
        <v>214.65</v>
      </c>
      <c r="D107" s="72"/>
      <c r="E107" s="73">
        <v>214.65</v>
      </c>
      <c r="F107" s="7"/>
    </row>
    <row r="108" spans="1:6" x14ac:dyDescent="0.25">
      <c r="A108" s="6">
        <v>24</v>
      </c>
      <c r="B108" s="58" t="s">
        <v>84</v>
      </c>
      <c r="C108" s="29">
        <f>D108*E108/12</f>
        <v>23.333333333333332</v>
      </c>
      <c r="D108" s="72">
        <v>2</v>
      </c>
      <c r="E108" s="73">
        <v>140</v>
      </c>
      <c r="F108" s="7"/>
    </row>
    <row r="109" spans="1:6" x14ac:dyDescent="0.25">
      <c r="A109" s="6">
        <v>25</v>
      </c>
      <c r="B109" s="58" t="s">
        <v>85</v>
      </c>
      <c r="C109" s="29">
        <f>D109*E109</f>
        <v>20</v>
      </c>
      <c r="D109" s="72">
        <v>1</v>
      </c>
      <c r="E109" s="73">
        <v>20</v>
      </c>
      <c r="F109" s="7"/>
    </row>
    <row r="110" spans="1:6" x14ac:dyDescent="0.25">
      <c r="A110" s="6">
        <v>26</v>
      </c>
      <c r="B110" s="58" t="s">
        <v>86</v>
      </c>
      <c r="C110" s="29">
        <f>D110*E110/12</f>
        <v>66.666666666666671</v>
      </c>
      <c r="D110" s="72">
        <v>4</v>
      </c>
      <c r="E110" s="73">
        <v>200</v>
      </c>
      <c r="F110" s="7"/>
    </row>
    <row r="111" spans="1:6" ht="13.5" thickBot="1" x14ac:dyDescent="0.3">
      <c r="B111" s="31" t="s">
        <v>87</v>
      </c>
      <c r="C111" s="32">
        <f>SUM(C105:C110)</f>
        <v>626.25</v>
      </c>
      <c r="D111" s="61">
        <f>C111/C72</f>
        <v>0.65644654088050314</v>
      </c>
      <c r="E111" s="62"/>
      <c r="F111" s="7"/>
    </row>
    <row r="112" spans="1:6" ht="14.25" thickTop="1" thickBot="1" x14ac:dyDescent="0.3">
      <c r="B112" s="7"/>
      <c r="C112" s="7"/>
      <c r="D112" s="7"/>
      <c r="E112" s="8"/>
      <c r="F112" s="7"/>
    </row>
    <row r="113" spans="1:6" ht="14.25" thickTop="1" thickBot="1" x14ac:dyDescent="0.3">
      <c r="A113" s="13"/>
      <c r="B113" s="54" t="s">
        <v>88</v>
      </c>
      <c r="C113" s="63">
        <f>C72+C101+C111</f>
        <v>2190.4852584</v>
      </c>
      <c r="D113" s="64" t="s">
        <v>89</v>
      </c>
      <c r="E113" s="8"/>
      <c r="F113" s="7"/>
    </row>
    <row r="114" spans="1:6" ht="14.25" thickTop="1" thickBot="1" x14ac:dyDescent="0.3">
      <c r="A114" s="13"/>
      <c r="B114" s="54" t="s">
        <v>99</v>
      </c>
      <c r="C114" s="63">
        <f>C113*C66</f>
        <v>2190.4852584</v>
      </c>
      <c r="D114" s="65">
        <f>C114/[1]DEMANDA!B$33</f>
        <v>6.1413178714814401E-2</v>
      </c>
      <c r="E114" s="8"/>
      <c r="F114" s="7"/>
    </row>
    <row r="115" spans="1:6" ht="13.5" thickTop="1" x14ac:dyDescent="0.25">
      <c r="B115" s="7"/>
      <c r="C115" s="7"/>
      <c r="D115" s="7"/>
      <c r="E115" s="8"/>
      <c r="F115" s="7"/>
    </row>
  </sheetData>
  <mergeCells count="5">
    <mergeCell ref="B1:C1"/>
    <mergeCell ref="B2:C2"/>
    <mergeCell ref="C3:H6"/>
    <mergeCell ref="F52:H52"/>
    <mergeCell ref="F56:I56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C16" sqref="C16"/>
    </sheetView>
  </sheetViews>
  <sheetFormatPr defaultColWidth="42.7109375" defaultRowHeight="12" x14ac:dyDescent="0.25"/>
  <cols>
    <col min="1" max="2" width="42.7109375" style="75" customWidth="1"/>
    <col min="3" max="3" width="13.140625" style="75" customWidth="1"/>
    <col min="4" max="16384" width="42.7109375" style="75"/>
  </cols>
  <sheetData>
    <row r="1" spans="1:3" x14ac:dyDescent="0.25">
      <c r="A1" s="284" t="s">
        <v>101</v>
      </c>
      <c r="B1" s="284"/>
      <c r="C1" s="284"/>
    </row>
    <row r="2" spans="1:3" x14ac:dyDescent="0.25">
      <c r="A2" s="284" t="s">
        <v>102</v>
      </c>
      <c r="B2" s="284"/>
      <c r="C2" s="284"/>
    </row>
    <row r="3" spans="1:3" ht="12.75" thickBot="1" x14ac:dyDescent="0.3"/>
    <row r="4" spans="1:3" ht="13.5" thickTop="1" thickBot="1" x14ac:dyDescent="0.3">
      <c r="A4" s="76" t="s">
        <v>103</v>
      </c>
      <c r="B4" s="77"/>
      <c r="C4" s="78"/>
    </row>
    <row r="5" spans="1:3" ht="12.75" thickTop="1" x14ac:dyDescent="0.25">
      <c r="A5" s="79" t="s">
        <v>104</v>
      </c>
      <c r="B5" s="80" t="s">
        <v>105</v>
      </c>
      <c r="C5" s="81" t="s">
        <v>106</v>
      </c>
    </row>
    <row r="6" spans="1:3" x14ac:dyDescent="0.25">
      <c r="A6" s="82" t="s">
        <v>49</v>
      </c>
      <c r="B6" s="83" t="s">
        <v>107</v>
      </c>
      <c r="C6" s="84">
        <v>0.2</v>
      </c>
    </row>
    <row r="7" spans="1:3" x14ac:dyDescent="0.25">
      <c r="A7" s="82" t="s">
        <v>50</v>
      </c>
      <c r="B7" s="83" t="s">
        <v>108</v>
      </c>
      <c r="C7" s="84">
        <v>1.4999999999999999E-2</v>
      </c>
    </row>
    <row r="8" spans="1:3" x14ac:dyDescent="0.25">
      <c r="A8" s="82" t="s">
        <v>51</v>
      </c>
      <c r="B8" s="83" t="s">
        <v>109</v>
      </c>
      <c r="C8" s="84">
        <v>0.01</v>
      </c>
    </row>
    <row r="9" spans="1:3" x14ac:dyDescent="0.25">
      <c r="A9" s="82" t="s">
        <v>52</v>
      </c>
      <c r="B9" s="83" t="s">
        <v>110</v>
      </c>
      <c r="C9" s="84">
        <v>2E-3</v>
      </c>
    </row>
    <row r="10" spans="1:3" x14ac:dyDescent="0.25">
      <c r="A10" s="82" t="s">
        <v>53</v>
      </c>
      <c r="B10" s="83" t="s">
        <v>111</v>
      </c>
      <c r="C10" s="84">
        <v>2.5000000000000001E-2</v>
      </c>
    </row>
    <row r="11" spans="1:3" x14ac:dyDescent="0.25">
      <c r="A11" s="82" t="s">
        <v>54</v>
      </c>
      <c r="B11" s="83" t="s">
        <v>112</v>
      </c>
      <c r="C11" s="84">
        <v>0.08</v>
      </c>
    </row>
    <row r="12" spans="1:3" x14ac:dyDescent="0.25">
      <c r="A12" s="82" t="s">
        <v>167</v>
      </c>
      <c r="B12" s="83" t="s">
        <v>113</v>
      </c>
      <c r="C12" s="84">
        <v>0.02</v>
      </c>
    </row>
    <row r="13" spans="1:3" x14ac:dyDescent="0.25">
      <c r="A13" s="82" t="s">
        <v>166</v>
      </c>
      <c r="B13" s="83" t="s">
        <v>114</v>
      </c>
      <c r="C13" s="84">
        <v>6.0000000000000001E-3</v>
      </c>
    </row>
    <row r="14" spans="1:3" ht="12.75" thickBot="1" x14ac:dyDescent="0.3">
      <c r="A14" s="85"/>
      <c r="B14" s="86"/>
      <c r="C14" s="87"/>
    </row>
    <row r="15" spans="1:3" ht="12.75" thickTop="1" x14ac:dyDescent="0.25">
      <c r="A15" s="79" t="s">
        <v>115</v>
      </c>
      <c r="B15" s="80" t="s">
        <v>105</v>
      </c>
      <c r="C15" s="81" t="s">
        <v>106</v>
      </c>
    </row>
    <row r="16" spans="1:3" ht="24" x14ac:dyDescent="0.25">
      <c r="A16" s="82" t="s">
        <v>60</v>
      </c>
      <c r="B16" s="88" t="s">
        <v>116</v>
      </c>
      <c r="C16" s="84">
        <v>0.1111</v>
      </c>
    </row>
    <row r="17" spans="1:6" x14ac:dyDescent="0.25">
      <c r="A17" s="82" t="s">
        <v>61</v>
      </c>
      <c r="B17" s="88" t="s">
        <v>117</v>
      </c>
      <c r="C17" s="84">
        <v>8.3299999999999999E-2</v>
      </c>
    </row>
    <row r="18" spans="1:6" ht="36" x14ac:dyDescent="0.25">
      <c r="A18" s="82" t="s">
        <v>62</v>
      </c>
      <c r="B18" s="88" t="s">
        <v>118</v>
      </c>
      <c r="C18" s="84">
        <v>1.66E-2</v>
      </c>
    </row>
    <row r="19" spans="1:6" ht="69" customHeight="1" x14ac:dyDescent="0.25">
      <c r="A19" s="82" t="s">
        <v>64</v>
      </c>
      <c r="B19" s="89" t="s">
        <v>119</v>
      </c>
      <c r="C19" s="84">
        <v>2.7000000000000001E-3</v>
      </c>
      <c r="F19" s="90"/>
    </row>
    <row r="20" spans="1:6" ht="80.25" customHeight="1" x14ac:dyDescent="0.25">
      <c r="A20" s="82" t="s">
        <v>63</v>
      </c>
      <c r="B20" s="89" t="s">
        <v>120</v>
      </c>
      <c r="C20" s="84">
        <v>2.0000000000000001E-4</v>
      </c>
      <c r="E20" s="91"/>
    </row>
    <row r="21" spans="1:6" ht="24.75" thickBot="1" x14ac:dyDescent="0.3">
      <c r="A21" s="92" t="s">
        <v>65</v>
      </c>
      <c r="B21" s="89" t="s">
        <v>121</v>
      </c>
      <c r="C21" s="93">
        <v>2.8E-3</v>
      </c>
      <c r="E21" s="91"/>
    </row>
    <row r="22" spans="1:6" ht="12.75" thickTop="1" x14ac:dyDescent="0.25">
      <c r="A22" s="79" t="s">
        <v>122</v>
      </c>
      <c r="B22" s="80" t="s">
        <v>105</v>
      </c>
      <c r="C22" s="81" t="s">
        <v>106</v>
      </c>
    </row>
    <row r="23" spans="1:6" ht="84" x14ac:dyDescent="0.25">
      <c r="A23" s="82" t="s">
        <v>71</v>
      </c>
      <c r="B23" s="89" t="s">
        <v>123</v>
      </c>
      <c r="C23" s="84">
        <v>2.7799999999999998E-2</v>
      </c>
    </row>
    <row r="24" spans="1:6" ht="96" x14ac:dyDescent="0.25">
      <c r="A24" s="82" t="s">
        <v>72</v>
      </c>
      <c r="B24" s="89" t="s">
        <v>124</v>
      </c>
      <c r="C24" s="84">
        <v>2.5000000000000001E-2</v>
      </c>
      <c r="E24" s="94"/>
    </row>
    <row r="25" spans="1:6" ht="84.75" thickBot="1" x14ac:dyDescent="0.3">
      <c r="A25" s="95" t="s">
        <v>125</v>
      </c>
      <c r="B25" s="96" t="s">
        <v>126</v>
      </c>
      <c r="C25" s="97">
        <v>2.8799999999999999E-2</v>
      </c>
      <c r="E25" s="90"/>
    </row>
    <row r="26" spans="1:6" ht="12.75" thickTop="1" x14ac:dyDescent="0.25">
      <c r="A26" s="98" t="s">
        <v>127</v>
      </c>
      <c r="B26" s="99"/>
      <c r="C26" s="100"/>
    </row>
    <row r="27" spans="1:6" x14ac:dyDescent="0.25">
      <c r="A27" s="75" t="s">
        <v>128</v>
      </c>
    </row>
    <row r="28" spans="1:6" x14ac:dyDescent="0.25">
      <c r="A28" s="101" t="s">
        <v>129</v>
      </c>
    </row>
    <row r="29" spans="1:6" x14ac:dyDescent="0.25">
      <c r="A29" s="75" t="s">
        <v>130</v>
      </c>
    </row>
    <row r="30" spans="1:6" x14ac:dyDescent="0.25">
      <c r="A30" s="101" t="s">
        <v>131</v>
      </c>
    </row>
  </sheetData>
  <mergeCells count="2">
    <mergeCell ref="A1:C1"/>
    <mergeCell ref="A2:C2"/>
  </mergeCells>
  <hyperlinks>
    <hyperlink ref="A28" r:id="rId1"/>
    <hyperlink ref="A30" r:id="rId2"/>
  </hyperlinks>
  <pageMargins left="0.511811024" right="0.511811024" top="0.78740157499999996" bottom="0.78740157499999996" header="0.31496062000000002" footer="0.31496062000000002"/>
  <pageSetup paperSize="9" scale="9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7"/>
  <sheetViews>
    <sheetView workbookViewId="0">
      <selection activeCell="R23" sqref="R23:S23"/>
    </sheetView>
  </sheetViews>
  <sheetFormatPr defaultRowHeight="15" x14ac:dyDescent="0.25"/>
  <cols>
    <col min="7" max="7" width="10" customWidth="1"/>
    <col min="11" max="11" width="4.28515625" customWidth="1"/>
    <col min="12" max="12" width="3.5703125" customWidth="1"/>
    <col min="13" max="13" width="4.5703125" customWidth="1"/>
    <col min="14" max="14" width="5.28515625" customWidth="1"/>
    <col min="15" max="15" width="4.42578125" customWidth="1"/>
    <col min="18" max="18" width="11.5703125" customWidth="1"/>
    <col min="19" max="19" width="5.28515625" customWidth="1"/>
    <col min="20" max="20" width="2.5703125" customWidth="1"/>
    <col min="23" max="23" width="5.5703125" customWidth="1"/>
    <col min="24" max="24" width="6" customWidth="1"/>
    <col min="25" max="25" width="2.5703125" customWidth="1"/>
    <col min="26" max="26" width="2" customWidth="1"/>
    <col min="29" max="29" width="4.28515625" customWidth="1"/>
    <col min="30" max="30" width="3.140625" customWidth="1"/>
    <col min="31" max="31" width="3.85546875" customWidth="1"/>
    <col min="32" max="33" width="2.7109375" customWidth="1"/>
    <col min="34" max="34" width="1.28515625" customWidth="1"/>
    <col min="35" max="35" width="4.7109375" customWidth="1"/>
    <col min="36" max="36" width="3.42578125" customWidth="1"/>
    <col min="37" max="37" width="1.85546875" customWidth="1"/>
    <col min="39" max="39" width="10.140625" bestFit="1" customWidth="1"/>
  </cols>
  <sheetData>
    <row r="2" spans="2:39" ht="18.75" x14ac:dyDescent="0.3">
      <c r="D2" s="285" t="s">
        <v>232</v>
      </c>
      <c r="E2" s="285"/>
      <c r="F2" s="285"/>
      <c r="G2" s="285"/>
      <c r="H2" s="285"/>
    </row>
    <row r="4" spans="2:39" ht="18.75" x14ac:dyDescent="0.3">
      <c r="D4" s="285" t="s">
        <v>233</v>
      </c>
      <c r="E4" s="285"/>
      <c r="F4" s="285"/>
      <c r="G4" s="285"/>
      <c r="H4" s="286"/>
      <c r="I4" s="286"/>
      <c r="J4" s="286"/>
      <c r="K4" s="286"/>
      <c r="L4" s="286"/>
      <c r="M4" s="286"/>
    </row>
    <row r="6" spans="2:39" ht="17.25" customHeight="1" x14ac:dyDescent="0.25">
      <c r="D6" s="149"/>
      <c r="E6" s="149"/>
      <c r="F6" s="149"/>
      <c r="G6" s="149"/>
      <c r="H6" s="149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</row>
    <row r="7" spans="2:39" x14ac:dyDescent="0.25"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</row>
    <row r="8" spans="2:39" x14ac:dyDescent="0.25"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</row>
    <row r="9" spans="2:39" ht="21" x14ac:dyDescent="0.35">
      <c r="B9" s="245" t="s">
        <v>210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Q9" s="19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38"/>
    </row>
    <row r="10" spans="2:39" ht="21" x14ac:dyDescent="0.35">
      <c r="B10" s="290" t="s">
        <v>196</v>
      </c>
      <c r="C10" s="290"/>
      <c r="D10" s="291" t="s">
        <v>197</v>
      </c>
      <c r="E10" s="291"/>
      <c r="F10" s="291"/>
      <c r="G10" s="291"/>
      <c r="H10" s="291"/>
      <c r="I10" s="291"/>
      <c r="J10" s="291"/>
      <c r="K10" s="292" t="s">
        <v>201</v>
      </c>
      <c r="L10" s="292"/>
      <c r="M10" s="292"/>
      <c r="N10" s="292"/>
      <c r="O10" s="292"/>
      <c r="Q10" s="197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9"/>
      <c r="AH10" s="199"/>
      <c r="AI10" s="199"/>
      <c r="AJ10" s="199"/>
      <c r="AK10" s="199"/>
      <c r="AL10" s="199"/>
      <c r="AM10" s="200"/>
    </row>
    <row r="11" spans="2:39" ht="18" customHeight="1" x14ac:dyDescent="0.25">
      <c r="B11" s="290"/>
      <c r="C11" s="290"/>
      <c r="D11" s="293" t="s">
        <v>198</v>
      </c>
      <c r="E11" s="293"/>
      <c r="F11" s="293"/>
      <c r="G11" s="293" t="s">
        <v>200</v>
      </c>
      <c r="H11" s="293"/>
      <c r="I11" s="293"/>
      <c r="J11" s="293"/>
      <c r="K11" s="292"/>
      <c r="L11" s="292"/>
      <c r="M11" s="292"/>
      <c r="N11" s="292"/>
      <c r="O11" s="292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198"/>
      <c r="AM11" s="138"/>
    </row>
    <row r="12" spans="2:39" ht="17.25" customHeight="1" x14ac:dyDescent="0.25">
      <c r="B12" s="290"/>
      <c r="C12" s="290"/>
      <c r="D12" s="293" t="s">
        <v>199</v>
      </c>
      <c r="E12" s="293"/>
      <c r="F12" s="293"/>
      <c r="G12" s="293" t="s">
        <v>199</v>
      </c>
      <c r="H12" s="293"/>
      <c r="I12" s="293"/>
      <c r="J12" s="293"/>
      <c r="K12" s="293" t="s">
        <v>202</v>
      </c>
      <c r="L12" s="294"/>
      <c r="M12" s="294"/>
      <c r="N12" s="294"/>
      <c r="O12" s="294"/>
      <c r="Q12" s="198"/>
      <c r="R12" s="288"/>
      <c r="S12" s="288"/>
      <c r="T12" s="198"/>
      <c r="U12" s="201"/>
      <c r="V12" s="201"/>
      <c r="W12" s="201"/>
      <c r="X12" s="198"/>
      <c r="Y12" s="198"/>
      <c r="Z12" s="198"/>
      <c r="AA12" s="202"/>
      <c r="AB12" s="198"/>
      <c r="AC12" s="198"/>
      <c r="AD12" s="198"/>
      <c r="AE12" s="198"/>
      <c r="AF12" s="198"/>
      <c r="AG12" s="289"/>
      <c r="AH12" s="289"/>
      <c r="AI12" s="289"/>
      <c r="AJ12" s="289"/>
      <c r="AK12" s="289"/>
      <c r="AL12" s="198"/>
      <c r="AM12" s="203"/>
    </row>
    <row r="13" spans="2:39" x14ac:dyDescent="0.25">
      <c r="B13" s="299" t="s">
        <v>203</v>
      </c>
      <c r="C13" s="299"/>
      <c r="D13" s="300">
        <v>8</v>
      </c>
      <c r="E13" s="300"/>
      <c r="F13" s="300"/>
      <c r="G13" s="300">
        <v>5</v>
      </c>
      <c r="H13" s="300"/>
      <c r="I13" s="300"/>
      <c r="J13" s="300"/>
      <c r="K13" s="301">
        <v>0.2</v>
      </c>
      <c r="L13" s="301"/>
      <c r="M13" s="301"/>
      <c r="N13" s="301"/>
      <c r="O13" s="301"/>
      <c r="Q13" s="198"/>
      <c r="R13" s="288"/>
      <c r="S13" s="288"/>
      <c r="T13" s="198"/>
      <c r="U13" s="201"/>
      <c r="V13" s="201"/>
      <c r="W13" s="201"/>
      <c r="X13" s="198"/>
      <c r="Y13" s="198"/>
      <c r="Z13" s="198"/>
      <c r="AA13" s="202"/>
      <c r="AB13" s="198"/>
      <c r="AC13" s="198"/>
      <c r="AD13" s="198"/>
      <c r="AE13" s="198"/>
      <c r="AF13" s="198"/>
      <c r="AG13" s="289"/>
      <c r="AH13" s="289"/>
      <c r="AI13" s="289"/>
      <c r="AJ13" s="289"/>
      <c r="AK13" s="289"/>
      <c r="AL13" s="198"/>
      <c r="AM13" s="203"/>
    </row>
    <row r="14" spans="2:39" x14ac:dyDescent="0.25">
      <c r="B14" s="299"/>
      <c r="C14" s="299"/>
      <c r="D14" s="300"/>
      <c r="E14" s="300"/>
      <c r="F14" s="300"/>
      <c r="G14" s="300"/>
      <c r="H14" s="300"/>
      <c r="I14" s="300"/>
      <c r="J14" s="300"/>
      <c r="K14" s="301"/>
      <c r="L14" s="301"/>
      <c r="M14" s="301"/>
      <c r="N14" s="301"/>
      <c r="O14" s="301"/>
      <c r="Q14" s="198"/>
      <c r="R14" s="288"/>
      <c r="S14" s="288"/>
      <c r="T14" s="198"/>
      <c r="U14" s="201"/>
      <c r="V14" s="201"/>
      <c r="W14" s="201"/>
      <c r="X14" s="198"/>
      <c r="Y14" s="198"/>
      <c r="Z14" s="198"/>
      <c r="AA14" s="202"/>
      <c r="AB14" s="198"/>
      <c r="AC14" s="198"/>
      <c r="AD14" s="198"/>
      <c r="AE14" s="198"/>
      <c r="AF14" s="198"/>
      <c r="AG14" s="289"/>
      <c r="AH14" s="289"/>
      <c r="AI14" s="289"/>
      <c r="AJ14" s="289"/>
      <c r="AK14" s="289"/>
      <c r="AL14" s="198"/>
      <c r="AM14" s="203"/>
    </row>
    <row r="15" spans="2:39" x14ac:dyDescent="0.25">
      <c r="B15" s="299" t="s">
        <v>204</v>
      </c>
      <c r="C15" s="299"/>
      <c r="D15" s="302">
        <v>10</v>
      </c>
      <c r="E15" s="302"/>
      <c r="F15" s="302"/>
      <c r="G15" s="300">
        <v>5</v>
      </c>
      <c r="H15" s="300"/>
      <c r="I15" s="300"/>
      <c r="J15" s="300"/>
      <c r="K15" s="301">
        <v>0.1</v>
      </c>
      <c r="L15" s="301"/>
      <c r="M15" s="301"/>
      <c r="N15" s="301"/>
      <c r="O15" s="301"/>
      <c r="Q15" s="198"/>
      <c r="R15" s="288"/>
      <c r="S15" s="288"/>
      <c r="T15" s="198"/>
      <c r="U15" s="201"/>
      <c r="V15" s="201"/>
      <c r="W15" s="201"/>
      <c r="X15" s="198"/>
      <c r="Y15" s="198"/>
      <c r="Z15" s="198"/>
      <c r="AA15" s="202"/>
      <c r="AB15" s="198"/>
      <c r="AC15" s="198"/>
      <c r="AD15" s="198"/>
      <c r="AE15" s="198"/>
      <c r="AF15" s="198"/>
      <c r="AG15" s="289"/>
      <c r="AH15" s="289"/>
      <c r="AI15" s="289"/>
      <c r="AJ15" s="289"/>
      <c r="AK15" s="289"/>
      <c r="AL15" s="198"/>
      <c r="AM15" s="203"/>
    </row>
    <row r="16" spans="2:39" x14ac:dyDescent="0.25">
      <c r="B16" s="299"/>
      <c r="C16" s="299"/>
      <c r="D16" s="302"/>
      <c r="E16" s="302"/>
      <c r="F16" s="302"/>
      <c r="G16" s="300"/>
      <c r="H16" s="300"/>
      <c r="I16" s="300"/>
      <c r="J16" s="300"/>
      <c r="K16" s="301"/>
      <c r="L16" s="301"/>
      <c r="M16" s="301"/>
      <c r="N16" s="301"/>
      <c r="O16" s="301"/>
      <c r="Q16" s="198"/>
      <c r="R16" s="288"/>
      <c r="S16" s="288"/>
      <c r="T16" s="198"/>
      <c r="U16" s="201"/>
      <c r="V16" s="201"/>
      <c r="W16" s="201"/>
      <c r="X16" s="198"/>
      <c r="Y16" s="198"/>
      <c r="Z16" s="198"/>
      <c r="AA16" s="202"/>
      <c r="AB16" s="198"/>
      <c r="AC16" s="198"/>
      <c r="AD16" s="198"/>
      <c r="AE16" s="198"/>
      <c r="AF16" s="198"/>
      <c r="AG16" s="289"/>
      <c r="AH16" s="289"/>
      <c r="AI16" s="289"/>
      <c r="AJ16" s="289"/>
      <c r="AK16" s="289"/>
      <c r="AL16" s="198"/>
      <c r="AM16" s="203"/>
    </row>
    <row r="17" spans="2:39" x14ac:dyDescent="0.25">
      <c r="Q17" s="198"/>
      <c r="R17" s="288"/>
      <c r="S17" s="288"/>
      <c r="T17" s="198"/>
      <c r="U17" s="201"/>
      <c r="V17" s="201"/>
      <c r="W17" s="201"/>
      <c r="X17" s="198"/>
      <c r="Y17" s="198"/>
      <c r="Z17" s="198"/>
      <c r="AA17" s="202"/>
      <c r="AB17" s="198"/>
      <c r="AC17" s="198"/>
      <c r="AD17" s="198"/>
      <c r="AE17" s="198"/>
      <c r="AF17" s="198"/>
      <c r="AG17" s="289"/>
      <c r="AH17" s="289"/>
      <c r="AI17" s="289"/>
      <c r="AJ17" s="289"/>
      <c r="AK17" s="289"/>
      <c r="AL17" s="198"/>
      <c r="AM17" s="203"/>
    </row>
    <row r="18" spans="2:39" x14ac:dyDescent="0.25">
      <c r="Q18" s="198"/>
      <c r="R18" s="288"/>
      <c r="S18" s="288"/>
      <c r="T18" s="198"/>
      <c r="U18" s="201"/>
      <c r="V18" s="201"/>
      <c r="W18" s="201"/>
      <c r="X18" s="198"/>
      <c r="Y18" s="198"/>
      <c r="Z18" s="198"/>
      <c r="AA18" s="202"/>
      <c r="AB18" s="198"/>
      <c r="AC18" s="198"/>
      <c r="AD18" s="198"/>
      <c r="AE18" s="198"/>
      <c r="AF18" s="198"/>
      <c r="AG18" s="289"/>
      <c r="AH18" s="289"/>
      <c r="AI18" s="289"/>
      <c r="AJ18" s="289"/>
      <c r="AK18" s="289"/>
      <c r="AL18" s="198"/>
      <c r="AM18" s="203"/>
    </row>
    <row r="19" spans="2:39" x14ac:dyDescent="0.25">
      <c r="Q19" s="198"/>
      <c r="R19" s="288"/>
      <c r="S19" s="288"/>
      <c r="T19" s="198"/>
      <c r="U19" s="201"/>
      <c r="V19" s="201"/>
      <c r="W19" s="201"/>
      <c r="X19" s="198"/>
      <c r="Y19" s="198"/>
      <c r="Z19" s="198"/>
      <c r="AA19" s="202"/>
      <c r="AB19" s="198"/>
      <c r="AC19" s="198"/>
      <c r="AD19" s="198"/>
      <c r="AE19" s="198"/>
      <c r="AF19" s="198"/>
      <c r="AG19" s="289"/>
      <c r="AH19" s="289"/>
      <c r="AI19" s="289"/>
      <c r="AJ19" s="289"/>
      <c r="AK19" s="289"/>
      <c r="AL19" s="198"/>
      <c r="AM19" s="203"/>
    </row>
    <row r="20" spans="2:39" ht="15.75" x14ac:dyDescent="0.25">
      <c r="B20" s="297" t="s">
        <v>209</v>
      </c>
      <c r="C20" s="297"/>
      <c r="D20" s="125"/>
      <c r="E20" s="2"/>
      <c r="F20" s="126" t="s">
        <v>170</v>
      </c>
      <c r="G20" s="127"/>
      <c r="H20" s="295">
        <f>+'COMPOSIÇÃO DOS CUSTOS'!E12</f>
        <v>189900</v>
      </c>
      <c r="I20" s="295"/>
      <c r="L20" s="139"/>
      <c r="M20" s="139"/>
      <c r="N20" s="138"/>
      <c r="O20" s="139"/>
      <c r="P20" s="140"/>
      <c r="Q20" s="198"/>
      <c r="R20" s="288"/>
      <c r="S20" s="288"/>
      <c r="T20" s="198"/>
      <c r="U20" s="201"/>
      <c r="V20" s="201"/>
      <c r="W20" s="201"/>
      <c r="X20" s="198"/>
      <c r="Y20" s="198"/>
      <c r="Z20" s="198"/>
      <c r="AA20" s="202"/>
      <c r="AB20" s="198"/>
      <c r="AC20" s="198"/>
      <c r="AD20" s="198"/>
      <c r="AE20" s="198"/>
      <c r="AF20" s="198"/>
      <c r="AG20" s="289"/>
      <c r="AH20" s="289"/>
      <c r="AI20" s="289"/>
      <c r="AJ20" s="289"/>
      <c r="AK20" s="289"/>
      <c r="AL20" s="198"/>
      <c r="AM20" s="203"/>
    </row>
    <row r="21" spans="2:39" x14ac:dyDescent="0.25">
      <c r="B21" s="298" t="s">
        <v>205</v>
      </c>
      <c r="C21" s="298"/>
      <c r="F21" s="126" t="s">
        <v>208</v>
      </c>
      <c r="G21" s="127"/>
      <c r="H21" s="295">
        <f>H20*K15</f>
        <v>18990</v>
      </c>
      <c r="I21" s="295"/>
      <c r="L21" s="139"/>
      <c r="M21" s="141"/>
      <c r="N21" s="138"/>
      <c r="O21" s="139"/>
      <c r="P21" s="140"/>
      <c r="Q21" s="198"/>
      <c r="R21" s="288"/>
      <c r="S21" s="288"/>
      <c r="T21" s="198"/>
      <c r="U21" s="201"/>
      <c r="V21" s="201"/>
      <c r="W21" s="201"/>
      <c r="X21" s="198"/>
      <c r="Y21" s="198"/>
      <c r="Z21" s="198"/>
      <c r="AA21" s="202"/>
      <c r="AB21" s="198"/>
      <c r="AC21" s="198"/>
      <c r="AD21" s="198"/>
      <c r="AE21" s="198"/>
      <c r="AF21" s="198"/>
      <c r="AG21" s="289"/>
      <c r="AH21" s="289"/>
      <c r="AI21" s="289"/>
      <c r="AJ21" s="289"/>
      <c r="AK21" s="289"/>
      <c r="AL21" s="198"/>
      <c r="AM21" s="203"/>
    </row>
    <row r="22" spans="2:39" x14ac:dyDescent="0.25">
      <c r="F22" s="126" t="s">
        <v>206</v>
      </c>
      <c r="G22" s="127"/>
      <c r="H22" s="295">
        <f>(H20-H21)/D15</f>
        <v>17091</v>
      </c>
      <c r="I22" s="295"/>
      <c r="L22" s="138"/>
      <c r="M22" s="138"/>
      <c r="N22" s="138"/>
      <c r="O22" s="139"/>
      <c r="P22" s="140"/>
      <c r="Q22" s="198"/>
      <c r="R22" s="288"/>
      <c r="S22" s="288"/>
      <c r="T22" s="198"/>
      <c r="U22" s="201"/>
      <c r="V22" s="201"/>
      <c r="W22" s="201"/>
      <c r="X22" s="198"/>
      <c r="Y22" s="198"/>
      <c r="Z22" s="198"/>
      <c r="AA22" s="202"/>
      <c r="AB22" s="198"/>
      <c r="AC22" s="198"/>
      <c r="AD22" s="198"/>
      <c r="AE22" s="198"/>
      <c r="AF22" s="198"/>
      <c r="AG22" s="289"/>
      <c r="AH22" s="289"/>
      <c r="AI22" s="289"/>
      <c r="AJ22" s="289"/>
      <c r="AK22" s="289"/>
      <c r="AL22" s="198"/>
      <c r="AM22" s="203"/>
    </row>
    <row r="23" spans="2:39" x14ac:dyDescent="0.25">
      <c r="F23" s="126" t="s">
        <v>207</v>
      </c>
      <c r="G23" s="127"/>
      <c r="H23" s="295">
        <f>$H$22/12</f>
        <v>1424.25</v>
      </c>
      <c r="I23" s="296"/>
      <c r="L23" s="138"/>
      <c r="M23" s="138"/>
      <c r="N23" s="138"/>
      <c r="O23" s="139"/>
      <c r="P23" s="140"/>
      <c r="Q23" s="198"/>
      <c r="R23" s="288"/>
      <c r="S23" s="288"/>
      <c r="T23" s="198"/>
      <c r="U23" s="201"/>
      <c r="V23" s="201"/>
      <c r="W23" s="201"/>
      <c r="X23" s="198"/>
      <c r="Y23" s="198"/>
      <c r="Z23" s="198"/>
      <c r="AA23" s="202"/>
      <c r="AB23" s="198"/>
      <c r="AC23" s="198"/>
      <c r="AD23" s="198"/>
      <c r="AE23" s="198"/>
      <c r="AF23" s="198"/>
      <c r="AG23" s="289"/>
      <c r="AH23" s="289"/>
      <c r="AI23" s="289"/>
      <c r="AJ23" s="289"/>
      <c r="AK23" s="289"/>
      <c r="AL23" s="198"/>
      <c r="AM23" s="203"/>
    </row>
    <row r="24" spans="2:39" x14ac:dyDescent="0.25">
      <c r="Q24" s="198"/>
      <c r="R24" s="288"/>
      <c r="S24" s="288"/>
      <c r="T24" s="198"/>
      <c r="U24" s="201"/>
      <c r="V24" s="201"/>
      <c r="W24" s="201"/>
      <c r="X24" s="198"/>
      <c r="Y24" s="198"/>
      <c r="Z24" s="198"/>
      <c r="AA24" s="202"/>
      <c r="AB24" s="198"/>
      <c r="AC24" s="198"/>
      <c r="AD24" s="198"/>
      <c r="AE24" s="198"/>
      <c r="AF24" s="198"/>
      <c r="AG24" s="289"/>
      <c r="AH24" s="289"/>
      <c r="AI24" s="289"/>
      <c r="AJ24" s="289"/>
      <c r="AK24" s="289"/>
      <c r="AL24" s="198"/>
      <c r="AM24" s="203"/>
    </row>
    <row r="25" spans="2:39" x14ac:dyDescent="0.25">
      <c r="Q25" s="198"/>
      <c r="R25" s="288"/>
      <c r="S25" s="288"/>
      <c r="T25" s="198"/>
      <c r="U25" s="201"/>
      <c r="V25" s="201"/>
      <c r="W25" s="201"/>
      <c r="X25" s="198"/>
      <c r="Y25" s="198"/>
      <c r="Z25" s="198"/>
      <c r="AA25" s="202"/>
      <c r="AB25" s="198"/>
      <c r="AC25" s="198"/>
      <c r="AD25" s="198"/>
      <c r="AE25" s="198"/>
      <c r="AF25" s="198"/>
      <c r="AG25" s="289"/>
      <c r="AH25" s="289"/>
      <c r="AI25" s="289"/>
      <c r="AJ25" s="289"/>
      <c r="AK25" s="289"/>
      <c r="AL25" s="198"/>
      <c r="AM25" s="203"/>
    </row>
    <row r="26" spans="2:39" x14ac:dyDescent="0.25">
      <c r="Q26" s="198"/>
      <c r="R26" s="288"/>
      <c r="S26" s="288"/>
      <c r="T26" s="198"/>
      <c r="U26" s="201"/>
      <c r="V26" s="201"/>
      <c r="W26" s="201"/>
      <c r="X26" s="198"/>
      <c r="Y26" s="198"/>
      <c r="Z26" s="198"/>
      <c r="AA26" s="202"/>
      <c r="AB26" s="198"/>
      <c r="AC26" s="198"/>
      <c r="AD26" s="198"/>
      <c r="AE26" s="198"/>
      <c r="AF26" s="198"/>
      <c r="AG26" s="289"/>
      <c r="AH26" s="289"/>
      <c r="AI26" s="289"/>
      <c r="AJ26" s="289"/>
      <c r="AK26" s="289"/>
      <c r="AL26" s="198"/>
      <c r="AM26" s="203"/>
    </row>
    <row r="27" spans="2:39" x14ac:dyDescent="0.25">
      <c r="Q27" s="198"/>
      <c r="R27" s="288"/>
      <c r="S27" s="288"/>
      <c r="T27" s="198"/>
      <c r="U27" s="201"/>
      <c r="V27" s="201"/>
      <c r="W27" s="198"/>
      <c r="X27" s="198"/>
      <c r="Y27" s="198"/>
      <c r="Z27" s="198"/>
      <c r="AA27" s="202"/>
      <c r="AB27" s="198"/>
      <c r="AC27" s="198"/>
      <c r="AD27" s="198"/>
      <c r="AE27" s="198"/>
      <c r="AF27" s="198"/>
      <c r="AG27" s="289"/>
      <c r="AH27" s="289"/>
      <c r="AI27" s="289"/>
      <c r="AJ27" s="289"/>
      <c r="AK27" s="289"/>
      <c r="AL27" s="198"/>
      <c r="AM27" s="203"/>
    </row>
  </sheetData>
  <mergeCells count="60">
    <mergeCell ref="D2:H2"/>
    <mergeCell ref="I4:M4"/>
    <mergeCell ref="H22:I22"/>
    <mergeCell ref="H23:I23"/>
    <mergeCell ref="B20:C20"/>
    <mergeCell ref="B21:C21"/>
    <mergeCell ref="H20:I20"/>
    <mergeCell ref="H21:I21"/>
    <mergeCell ref="B13:C14"/>
    <mergeCell ref="D13:F14"/>
    <mergeCell ref="G13:J14"/>
    <mergeCell ref="K13:O14"/>
    <mergeCell ref="B15:C16"/>
    <mergeCell ref="D15:F16"/>
    <mergeCell ref="G15:J16"/>
    <mergeCell ref="K15:O16"/>
    <mergeCell ref="B9:O9"/>
    <mergeCell ref="B10:C12"/>
    <mergeCell ref="D10:J10"/>
    <mergeCell ref="K10:O11"/>
    <mergeCell ref="D11:F11"/>
    <mergeCell ref="G11:J11"/>
    <mergeCell ref="D12:F12"/>
    <mergeCell ref="G12:J12"/>
    <mergeCell ref="K12:O12"/>
    <mergeCell ref="AA11:AK11"/>
    <mergeCell ref="R12:S12"/>
    <mergeCell ref="AG12:AK12"/>
    <mergeCell ref="R13:S13"/>
    <mergeCell ref="AG13:AK13"/>
    <mergeCell ref="R14:S14"/>
    <mergeCell ref="AG14:AK14"/>
    <mergeCell ref="R15:S15"/>
    <mergeCell ref="AG15:AK15"/>
    <mergeCell ref="R16:S16"/>
    <mergeCell ref="AG16:AK16"/>
    <mergeCell ref="R27:S27"/>
    <mergeCell ref="AG27:AK27"/>
    <mergeCell ref="R23:S23"/>
    <mergeCell ref="AG23:AK23"/>
    <mergeCell ref="R24:S24"/>
    <mergeCell ref="AG24:AK24"/>
    <mergeCell ref="R25:S25"/>
    <mergeCell ref="AG25:AK25"/>
    <mergeCell ref="D4:H4"/>
    <mergeCell ref="Q6:AM6"/>
    <mergeCell ref="R26:S26"/>
    <mergeCell ref="AG26:AK26"/>
    <mergeCell ref="R20:S20"/>
    <mergeCell ref="AG20:AK20"/>
    <mergeCell ref="R21:S21"/>
    <mergeCell ref="AG21:AK21"/>
    <mergeCell ref="R22:S22"/>
    <mergeCell ref="AG22:AK22"/>
    <mergeCell ref="R17:S17"/>
    <mergeCell ref="AG17:AK17"/>
    <mergeCell ref="R18:S18"/>
    <mergeCell ref="AG18:AK18"/>
    <mergeCell ref="R19:S19"/>
    <mergeCell ref="AG19:AK19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21"/>
  <sheetViews>
    <sheetView zoomScale="70" zoomScaleNormal="70" workbookViewId="0">
      <selection activeCell="E21" sqref="E21"/>
    </sheetView>
  </sheetViews>
  <sheetFormatPr defaultRowHeight="15" x14ac:dyDescent="0.2"/>
  <cols>
    <col min="1" max="1" width="46.85546875" style="128" customWidth="1"/>
    <col min="2" max="2" width="14.42578125" style="128" customWidth="1"/>
    <col min="3" max="3" width="21.28515625" style="128" bestFit="1" customWidth="1"/>
    <col min="4" max="4" width="18.42578125" style="128" bestFit="1" customWidth="1"/>
    <col min="5" max="5" width="13.85546875" style="128" bestFit="1" customWidth="1"/>
    <col min="6" max="6" width="18.85546875" style="128" bestFit="1" customWidth="1"/>
    <col min="7" max="7" width="16.5703125" style="128" customWidth="1"/>
    <col min="8" max="8" width="18.5703125" style="128" bestFit="1" customWidth="1"/>
    <col min="9" max="9" width="18.85546875" style="128" bestFit="1" customWidth="1"/>
    <col min="10" max="10" width="15.7109375" style="128" customWidth="1"/>
    <col min="11" max="11" width="15" style="128" bestFit="1" customWidth="1"/>
    <col min="12" max="12" width="12.7109375" style="128" customWidth="1"/>
    <col min="13" max="13" width="13.42578125" style="128" bestFit="1" customWidth="1"/>
    <col min="14" max="16384" width="9.140625" style="128"/>
  </cols>
  <sheetData>
    <row r="1" spans="1:28" ht="15.75" customHeight="1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28" ht="15.7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28" s="132" customFormat="1" ht="78.75" x14ac:dyDescent="0.2">
      <c r="A3" s="205" t="s">
        <v>213</v>
      </c>
      <c r="B3" s="205" t="s">
        <v>290</v>
      </c>
      <c r="C3" s="206" t="s">
        <v>214</v>
      </c>
      <c r="D3" s="206" t="s">
        <v>215</v>
      </c>
      <c r="E3" s="205" t="s">
        <v>216</v>
      </c>
      <c r="F3" s="205" t="s">
        <v>291</v>
      </c>
      <c r="G3" s="206" t="s">
        <v>217</v>
      </c>
      <c r="H3" s="205" t="s">
        <v>218</v>
      </c>
      <c r="I3" s="205" t="s">
        <v>219</v>
      </c>
      <c r="J3" s="205" t="s">
        <v>220</v>
      </c>
      <c r="K3" s="206" t="s">
        <v>221</v>
      </c>
      <c r="L3" s="204"/>
      <c r="M3" s="204"/>
    </row>
    <row r="4" spans="1:28" s="133" customFormat="1" ht="63" x14ac:dyDescent="0.2">
      <c r="A4" s="207" t="s">
        <v>292</v>
      </c>
      <c r="B4" s="208" t="s">
        <v>293</v>
      </c>
      <c r="C4" s="208" t="s">
        <v>223</v>
      </c>
      <c r="D4" s="209" t="s">
        <v>294</v>
      </c>
      <c r="E4" s="208">
        <v>29</v>
      </c>
      <c r="F4" s="210">
        <v>189900</v>
      </c>
      <c r="G4" s="209" t="s">
        <v>295</v>
      </c>
      <c r="H4" s="211">
        <v>860.69</v>
      </c>
      <c r="I4" s="212">
        <v>100000</v>
      </c>
      <c r="J4" s="208">
        <v>150</v>
      </c>
      <c r="K4" s="208" t="s">
        <v>224</v>
      </c>
      <c r="L4" s="204"/>
      <c r="M4" s="204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1:28" ht="63" x14ac:dyDescent="0.2">
      <c r="A5" s="207" t="s">
        <v>296</v>
      </c>
      <c r="B5" s="208" t="s">
        <v>297</v>
      </c>
      <c r="C5" s="208" t="s">
        <v>225</v>
      </c>
      <c r="D5" s="208" t="s">
        <v>298</v>
      </c>
      <c r="E5" s="208">
        <v>29</v>
      </c>
      <c r="F5" s="210">
        <v>271500</v>
      </c>
      <c r="G5" s="209" t="s">
        <v>299</v>
      </c>
      <c r="H5" s="211">
        <v>860.69</v>
      </c>
      <c r="I5" s="212">
        <v>100000</v>
      </c>
      <c r="J5" s="208">
        <v>150</v>
      </c>
      <c r="K5" s="208" t="s">
        <v>224</v>
      </c>
      <c r="L5" s="204"/>
      <c r="M5" s="204"/>
    </row>
    <row r="6" spans="1:28" s="132" customFormat="1" ht="63" x14ac:dyDescent="0.2">
      <c r="A6" s="207" t="s">
        <v>300</v>
      </c>
      <c r="B6" s="213" t="s">
        <v>301</v>
      </c>
      <c r="C6" s="208" t="s">
        <v>227</v>
      </c>
      <c r="D6" s="208" t="s">
        <v>302</v>
      </c>
      <c r="E6" s="208">
        <v>44</v>
      </c>
      <c r="F6" s="210">
        <v>226550</v>
      </c>
      <c r="G6" s="209" t="s">
        <v>303</v>
      </c>
      <c r="H6" s="211">
        <v>860.69</v>
      </c>
      <c r="I6" s="212">
        <v>100000</v>
      </c>
      <c r="J6" s="208">
        <v>150</v>
      </c>
      <c r="K6" s="208" t="s">
        <v>304</v>
      </c>
      <c r="L6" s="204"/>
      <c r="M6" s="204"/>
    </row>
    <row r="7" spans="1:28" ht="63" x14ac:dyDescent="0.2">
      <c r="A7" s="207" t="s">
        <v>305</v>
      </c>
      <c r="B7" s="208" t="s">
        <v>293</v>
      </c>
      <c r="C7" s="208" t="s">
        <v>223</v>
      </c>
      <c r="D7" s="209" t="s">
        <v>306</v>
      </c>
      <c r="E7" s="208">
        <v>59</v>
      </c>
      <c r="F7" s="210">
        <v>288912</v>
      </c>
      <c r="G7" s="209" t="s">
        <v>226</v>
      </c>
      <c r="H7" s="210">
        <v>1533.77</v>
      </c>
      <c r="I7" s="212">
        <v>100000</v>
      </c>
      <c r="J7" s="208">
        <v>275</v>
      </c>
      <c r="K7" s="208" t="s">
        <v>304</v>
      </c>
      <c r="L7" s="204"/>
      <c r="M7" s="204"/>
    </row>
    <row r="8" spans="1:28" ht="15.75" x14ac:dyDescent="0.2">
      <c r="L8" s="204"/>
      <c r="M8" s="204"/>
    </row>
    <row r="9" spans="1:28" s="130" customFormat="1" ht="15.75" x14ac:dyDescent="0.2">
      <c r="A9" s="303" t="s">
        <v>228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204"/>
      <c r="M9" s="204"/>
      <c r="N9" s="129"/>
    </row>
    <row r="10" spans="1:28" s="130" customFormat="1" ht="15.75" x14ac:dyDescent="0.2">
      <c r="A10" s="304" t="s">
        <v>229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204"/>
      <c r="M10" s="204"/>
      <c r="N10" s="131"/>
    </row>
    <row r="11" spans="1:28" ht="15.75" x14ac:dyDescent="0.2">
      <c r="A11" s="305" t="s">
        <v>307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204"/>
      <c r="M11" s="204"/>
    </row>
    <row r="12" spans="1:28" ht="15.75" x14ac:dyDescent="0.25">
      <c r="A12" s="214" t="s">
        <v>308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04"/>
      <c r="M12" s="204"/>
    </row>
    <row r="13" spans="1:28" ht="15.75" x14ac:dyDescent="0.25">
      <c r="A13" s="216" t="s">
        <v>309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04"/>
      <c r="M13" s="204"/>
    </row>
    <row r="14" spans="1:28" ht="15.75" x14ac:dyDescent="0.25">
      <c r="A14" s="306" t="s">
        <v>310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204"/>
      <c r="M14" s="204"/>
    </row>
    <row r="18" s="130" customFormat="1" x14ac:dyDescent="0.2"/>
    <row r="21" s="130" customFormat="1" x14ac:dyDescent="0.2"/>
  </sheetData>
  <mergeCells count="4">
    <mergeCell ref="A9:K9"/>
    <mergeCell ref="A10:K10"/>
    <mergeCell ref="A11:K11"/>
    <mergeCell ref="A14:K14"/>
  </mergeCells>
  <pageMargins left="0.511811024" right="0.511811024" top="0.78740157499999996" bottom="0.78740157499999996" header="0.31496062000000002" footer="0.31496062000000002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view="pageBreakPreview" topLeftCell="A4" zoomScale="120" zoomScaleNormal="100" zoomScaleSheetLayoutView="120" workbookViewId="0">
      <selection activeCell="E18" sqref="E18"/>
    </sheetView>
  </sheetViews>
  <sheetFormatPr defaultRowHeight="15" x14ac:dyDescent="0.25"/>
  <cols>
    <col min="1" max="1" width="17.85546875" customWidth="1"/>
    <col min="2" max="2" width="15" customWidth="1"/>
    <col min="3" max="3" width="15.28515625" customWidth="1"/>
    <col min="4" max="4" width="14.7109375" customWidth="1"/>
    <col min="5" max="5" width="16.42578125" customWidth="1"/>
    <col min="6" max="6" width="14.7109375" customWidth="1"/>
    <col min="7" max="7" width="14.85546875" customWidth="1"/>
    <col min="8" max="8" width="15" customWidth="1"/>
    <col min="9" max="9" width="15.140625" customWidth="1"/>
  </cols>
  <sheetData>
    <row r="2" spans="1:10" ht="27.75" customHeight="1" x14ac:dyDescent="0.25">
      <c r="A2" s="312" t="s">
        <v>264</v>
      </c>
      <c r="B2" s="312"/>
      <c r="C2" s="312"/>
      <c r="D2" s="312"/>
      <c r="E2" s="312"/>
    </row>
    <row r="4" spans="1:10" ht="44.25" customHeight="1" x14ac:dyDescent="0.25">
      <c r="A4" s="309" t="s">
        <v>266</v>
      </c>
      <c r="B4" s="308" t="s">
        <v>265</v>
      </c>
      <c r="C4" s="308"/>
      <c r="D4" s="308"/>
      <c r="E4" s="308"/>
      <c r="F4" s="308"/>
      <c r="G4" s="308"/>
      <c r="H4" s="308"/>
      <c r="I4" s="308"/>
      <c r="J4" s="181"/>
    </row>
    <row r="5" spans="1:10" ht="60.75" customHeight="1" x14ac:dyDescent="0.25">
      <c r="A5" s="310"/>
      <c r="B5" s="313" t="s">
        <v>281</v>
      </c>
      <c r="C5" s="314"/>
      <c r="D5" s="315" t="s">
        <v>279</v>
      </c>
      <c r="E5" s="316"/>
      <c r="F5" s="317" t="s">
        <v>284</v>
      </c>
      <c r="G5" s="317"/>
      <c r="H5" s="307" t="s">
        <v>285</v>
      </c>
      <c r="I5" s="307"/>
    </row>
    <row r="6" spans="1:10" ht="48" customHeight="1" x14ac:dyDescent="0.25">
      <c r="A6" s="311"/>
      <c r="B6" s="182" t="s">
        <v>282</v>
      </c>
      <c r="C6" s="186" t="s">
        <v>283</v>
      </c>
      <c r="D6" s="182" t="s">
        <v>282</v>
      </c>
      <c r="E6" s="186" t="s">
        <v>283</v>
      </c>
      <c r="F6" s="182" t="s">
        <v>282</v>
      </c>
      <c r="G6" s="186" t="s">
        <v>283</v>
      </c>
      <c r="H6" s="182" t="s">
        <v>282</v>
      </c>
      <c r="I6" s="186" t="s">
        <v>283</v>
      </c>
    </row>
    <row r="7" spans="1:10" ht="43.5" customHeight="1" x14ac:dyDescent="0.25">
      <c r="A7" s="187" t="s">
        <v>267</v>
      </c>
      <c r="B7" s="188">
        <v>13.41</v>
      </c>
      <c r="C7" s="189">
        <v>13.69</v>
      </c>
      <c r="D7" s="189">
        <v>14.98</v>
      </c>
      <c r="E7" s="189">
        <v>15.31</v>
      </c>
      <c r="F7" s="189">
        <v>14.88</v>
      </c>
      <c r="G7" s="189">
        <v>15.3</v>
      </c>
      <c r="H7" s="189">
        <v>16.079999999999998</v>
      </c>
      <c r="I7" s="189">
        <v>16.54</v>
      </c>
    </row>
    <row r="8" spans="1:10" ht="37.5" customHeight="1" x14ac:dyDescent="0.25">
      <c r="A8" s="188" t="s">
        <v>268</v>
      </c>
      <c r="B8" s="188">
        <v>11.1</v>
      </c>
      <c r="C8" s="189">
        <v>11.38</v>
      </c>
      <c r="D8" s="189">
        <v>12.42</v>
      </c>
      <c r="E8" s="189">
        <v>12.75</v>
      </c>
      <c r="F8" s="189">
        <v>12.46</v>
      </c>
      <c r="G8" s="189">
        <v>12.88</v>
      </c>
      <c r="H8" s="189">
        <v>13.46</v>
      </c>
      <c r="I8" s="189">
        <v>13.93</v>
      </c>
    </row>
    <row r="9" spans="1:10" ht="39.75" customHeight="1" x14ac:dyDescent="0.25">
      <c r="A9" s="188" t="s">
        <v>269</v>
      </c>
      <c r="B9" s="188">
        <v>9.56</v>
      </c>
      <c r="C9" s="189">
        <v>9.84</v>
      </c>
      <c r="D9" s="189">
        <v>10.71</v>
      </c>
      <c r="E9" s="189">
        <v>11.04</v>
      </c>
      <c r="F9" s="189">
        <v>10.84</v>
      </c>
      <c r="G9" s="189">
        <v>11.26</v>
      </c>
      <c r="H9" s="189">
        <v>11.72</v>
      </c>
      <c r="I9" s="189">
        <v>12.18</v>
      </c>
    </row>
    <row r="10" spans="1:10" ht="39" customHeight="1" x14ac:dyDescent="0.25">
      <c r="A10" s="188" t="s">
        <v>270</v>
      </c>
      <c r="B10" s="188">
        <v>8.4499999999999993</v>
      </c>
      <c r="C10" s="189">
        <v>8.74</v>
      </c>
      <c r="D10" s="189">
        <v>9.49</v>
      </c>
      <c r="E10" s="189">
        <v>9.82</v>
      </c>
      <c r="F10" s="189">
        <v>9.69</v>
      </c>
      <c r="G10" s="189">
        <v>10.11</v>
      </c>
      <c r="H10" s="189">
        <v>10.47</v>
      </c>
      <c r="I10" s="189">
        <v>10.94</v>
      </c>
    </row>
    <row r="11" spans="1:10" ht="42" customHeight="1" x14ac:dyDescent="0.25">
      <c r="A11" s="188" t="s">
        <v>286</v>
      </c>
      <c r="B11" s="188">
        <v>7.63</v>
      </c>
      <c r="C11" s="189">
        <v>7.91</v>
      </c>
      <c r="D11" s="189">
        <v>8.57</v>
      </c>
      <c r="E11" s="189">
        <v>8.9</v>
      </c>
      <c r="F11" s="189">
        <v>8.82</v>
      </c>
      <c r="G11" s="189">
        <v>9.24</v>
      </c>
      <c r="H11" s="189">
        <v>9.5399999999999991</v>
      </c>
      <c r="I11" s="189">
        <v>10</v>
      </c>
    </row>
    <row r="12" spans="1:10" ht="39.75" customHeight="1" x14ac:dyDescent="0.25">
      <c r="A12" s="188" t="s">
        <v>287</v>
      </c>
      <c r="B12" s="188">
        <v>6.99</v>
      </c>
      <c r="C12" s="189">
        <v>7.27</v>
      </c>
      <c r="D12" s="189">
        <v>7.86</v>
      </c>
      <c r="E12" s="189">
        <v>8.19</v>
      </c>
      <c r="F12" s="189">
        <v>8.15</v>
      </c>
      <c r="G12" s="189">
        <v>8.57</v>
      </c>
      <c r="H12" s="189">
        <v>8.81</v>
      </c>
      <c r="I12" s="189">
        <v>9.27</v>
      </c>
    </row>
    <row r="13" spans="1:10" ht="36.75" customHeight="1" x14ac:dyDescent="0.25">
      <c r="A13" s="188" t="s">
        <v>271</v>
      </c>
      <c r="B13" s="188">
        <v>6.47</v>
      </c>
      <c r="C13" s="189">
        <v>6.76</v>
      </c>
      <c r="D13" s="189">
        <v>7.29</v>
      </c>
      <c r="E13" s="189">
        <v>7.62</v>
      </c>
      <c r="F13" s="189">
        <v>7.61</v>
      </c>
      <c r="G13" s="189">
        <v>8.0299999999999994</v>
      </c>
      <c r="H13" s="189">
        <v>8.23</v>
      </c>
      <c r="I13" s="189">
        <v>8.69</v>
      </c>
    </row>
    <row r="14" spans="1:10" ht="39" customHeight="1" x14ac:dyDescent="0.25">
      <c r="A14" s="188" t="s">
        <v>272</v>
      </c>
      <c r="B14" s="188">
        <v>6.05</v>
      </c>
      <c r="C14" s="189">
        <v>6.34</v>
      </c>
      <c r="D14" s="189">
        <v>6.82</v>
      </c>
      <c r="E14" s="189">
        <v>7.16</v>
      </c>
      <c r="F14" s="189">
        <v>7.17</v>
      </c>
      <c r="G14" s="189">
        <v>7.59</v>
      </c>
      <c r="H14" s="189">
        <v>7.76</v>
      </c>
      <c r="I14" s="189">
        <v>8.2200000000000006</v>
      </c>
    </row>
    <row r="15" spans="1:10" ht="37.5" customHeight="1" x14ac:dyDescent="0.25">
      <c r="A15" s="188" t="s">
        <v>273</v>
      </c>
      <c r="B15" s="188">
        <v>5.7</v>
      </c>
      <c r="C15" s="189">
        <v>5.99</v>
      </c>
      <c r="D15" s="189">
        <v>6.44</v>
      </c>
      <c r="E15" s="189">
        <v>6.77</v>
      </c>
      <c r="F15" s="189">
        <v>6.8</v>
      </c>
      <c r="G15" s="189">
        <v>7.22</v>
      </c>
      <c r="H15" s="189">
        <v>7.36</v>
      </c>
      <c r="I15" s="189">
        <v>7.82</v>
      </c>
    </row>
    <row r="16" spans="1:10" ht="41.25" customHeight="1" x14ac:dyDescent="0.25">
      <c r="A16" s="188" t="s">
        <v>274</v>
      </c>
      <c r="B16" s="188">
        <v>5.41</v>
      </c>
      <c r="C16" s="189">
        <v>5.69</v>
      </c>
      <c r="D16" s="189">
        <v>6.11</v>
      </c>
      <c r="E16" s="189">
        <v>6.44</v>
      </c>
      <c r="F16" s="189">
        <v>6.49</v>
      </c>
      <c r="G16" s="189">
        <v>6.91</v>
      </c>
      <c r="H16" s="189">
        <v>7.02</v>
      </c>
      <c r="I16" s="189">
        <v>7.48</v>
      </c>
    </row>
    <row r="17" spans="1:9" ht="40.5" customHeight="1" x14ac:dyDescent="0.25">
      <c r="A17" s="188" t="s">
        <v>275</v>
      </c>
      <c r="B17" s="188">
        <v>5.15</v>
      </c>
      <c r="C17" s="189">
        <v>5.44</v>
      </c>
      <c r="D17" s="189">
        <v>5.83</v>
      </c>
      <c r="E17" s="189">
        <v>6.16</v>
      </c>
      <c r="F17" s="189">
        <v>6.22</v>
      </c>
      <c r="G17" s="189">
        <v>6.65</v>
      </c>
      <c r="H17" s="189">
        <v>6.74</v>
      </c>
      <c r="I17" s="189">
        <v>7.2</v>
      </c>
    </row>
    <row r="18" spans="1:9" ht="42.75" customHeight="1" x14ac:dyDescent="0.25">
      <c r="A18" s="188" t="s">
        <v>276</v>
      </c>
      <c r="B18" s="188">
        <v>4.93</v>
      </c>
      <c r="C18" s="189">
        <v>5.22</v>
      </c>
      <c r="D18" s="189">
        <v>5.58</v>
      </c>
      <c r="E18" s="189">
        <v>5.91</v>
      </c>
      <c r="F18" s="189">
        <v>5.99</v>
      </c>
      <c r="G18" s="189">
        <v>6.42</v>
      </c>
      <c r="H18" s="189">
        <v>6.49</v>
      </c>
      <c r="I18" s="189">
        <v>6.95</v>
      </c>
    </row>
    <row r="19" spans="1:9" x14ac:dyDescent="0.25">
      <c r="B19" s="270"/>
      <c r="C19" s="270"/>
      <c r="D19" s="270"/>
      <c r="E19" s="180"/>
    </row>
  </sheetData>
  <mergeCells count="8">
    <mergeCell ref="H5:I5"/>
    <mergeCell ref="B4:I4"/>
    <mergeCell ref="A4:A6"/>
    <mergeCell ref="A2:E2"/>
    <mergeCell ref="B19:D19"/>
    <mergeCell ref="B5:C5"/>
    <mergeCell ref="D5:E5"/>
    <mergeCell ref="F5:G5"/>
  </mergeCells>
  <pageMargins left="0.511811024" right="0.511811024" top="0.78740157499999996" bottom="0.78740157499999996" header="0.31496062000000002" footer="0.3149606200000000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COMPOSIÇÃO DOS CUSTOS</vt:lpstr>
      <vt:lpstr>CUSTO COM PESSOAL</vt:lpstr>
      <vt:lpstr>PERCENTUAL FOLHA DE PESSOAL</vt:lpstr>
      <vt:lpstr>DEPRECIAÇÃO LINEAR</vt:lpstr>
      <vt:lpstr>TIPO DO ÔNIBUS</vt:lpstr>
      <vt:lpstr>TABELA DE VALORES POR TRECHO</vt:lpstr>
      <vt:lpstr>'COMPOSIÇÃO DOS CUSTOS'!Area_de_impressao</vt:lpstr>
      <vt:lpstr>'CUSTO COM PESSOAL'!Area_de_impressao</vt:lpstr>
      <vt:lpstr>'DEPRECIAÇÃO LINEAR'!Area_de_impressao</vt:lpstr>
      <vt:lpstr>'TABELA DE VALORES POR TRECHO'!Area_de_impressao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61697605249</dc:creator>
  <cp:lastModifiedBy>Everson Luciano Germiniano</cp:lastModifiedBy>
  <cp:lastPrinted>2018-06-29T13:19:23Z</cp:lastPrinted>
  <dcterms:created xsi:type="dcterms:W3CDTF">2016-09-12T18:52:43Z</dcterms:created>
  <dcterms:modified xsi:type="dcterms:W3CDTF">2018-08-15T14:33:15Z</dcterms:modified>
</cp:coreProperties>
</file>