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2" activeTab="2"/>
  </bookViews>
  <sheets>
    <sheet name="INTRODUÇÃO" sheetId="1" r:id="rId1"/>
    <sheet name="ORIENTAÇÕES AO USUÁRIO" sheetId="2" r:id="rId2"/>
    <sheet name="CALCULO DO PRECO DO LEITE" sheetId="3" r:id="rId3"/>
    <sheet name="HISTORICO DE RESULTADOS" sheetId="4" r:id="rId4"/>
    <sheet name="PREÇOS REFERÊNCIA" sheetId="5" r:id="rId5"/>
    <sheet name="COMPARATIVO DE PREÇOS" sheetId="6" r:id="rId6"/>
    <sheet name="GRAF GORDURA" sheetId="7" r:id="rId7"/>
    <sheet name="GRAF SOLIDOS" sheetId="8" r:id="rId8"/>
    <sheet name="GRAF CELULAS SOMATICAS" sheetId="9" r:id="rId9"/>
    <sheet name="GRAF CONTAGEM BACTERIANA" sheetId="10" r:id="rId10"/>
    <sheet name="GRAF VOLUME ENTREGUE" sheetId="11" r:id="rId11"/>
    <sheet name="ANEXO" sheetId="12" r:id="rId12"/>
  </sheets>
  <definedNames/>
  <calcPr fullCalcOnLoad="1"/>
</workbook>
</file>

<file path=xl/sharedStrings.xml><?xml version="1.0" encoding="utf-8"?>
<sst xmlns="http://schemas.openxmlformats.org/spreadsheetml/2006/main" count="205" uniqueCount="175">
  <si>
    <t>Y</t>
  </si>
  <si>
    <t>f(g)</t>
  </si>
  <si>
    <t>f(s)</t>
  </si>
  <si>
    <t>f(c)</t>
  </si>
  <si>
    <t>f(v)</t>
  </si>
  <si>
    <t>g</t>
  </si>
  <si>
    <t>s</t>
  </si>
  <si>
    <t>c</t>
  </si>
  <si>
    <t>v</t>
  </si>
  <si>
    <t>Z</t>
  </si>
  <si>
    <t>SNG</t>
  </si>
  <si>
    <t>f(b)</t>
  </si>
  <si>
    <t>Contagem bacteriana</t>
  </si>
  <si>
    <t>Preço de referência do leite padrão R$/litro</t>
  </si>
  <si>
    <t>Preço de referência do produtor R$/litro</t>
  </si>
  <si>
    <t>Para o uso deste aplicativo o produtor rural de leite deve ter as seguintes informações:</t>
  </si>
  <si>
    <t>3-) Calcular os ganhos de receita que pode obter com a melhor qualidade e volume de sua produção</t>
  </si>
  <si>
    <t>a) Dados sobre a qualidade e volume do leite que entrega ao seu comprador</t>
  </si>
  <si>
    <t xml:space="preserve">     - Volume entregue no mês;</t>
  </si>
  <si>
    <t xml:space="preserve">     - Teor de gordura do leite entregue;</t>
  </si>
  <si>
    <t xml:space="preserve">     - Teor de sólidos não gordurosos do leite entregue;</t>
  </si>
  <si>
    <t xml:space="preserve">     - Contagem de células somáticas do leite entregue;</t>
  </si>
  <si>
    <t xml:space="preserve">     - Contagem bacteriana do leite entregue;</t>
  </si>
  <si>
    <t>ATENÇÃO: Não é necessário ter todas estas informações para o cálculo do preço do produtor. Na ausência de alguma destas informações, o programa assume que o produtor está na faixa do leite padrão, não gerando ágio nem deságio de preço.</t>
  </si>
  <si>
    <t>Apenas os campos (células) em branco devem ser preenchidos.</t>
  </si>
  <si>
    <t>Total de pontos do leite do produtor</t>
  </si>
  <si>
    <t>Células somáticas</t>
  </si>
  <si>
    <t>Gordura</t>
  </si>
  <si>
    <t>b</t>
  </si>
  <si>
    <t>ÁGIOS OU DESÁGIOS DE PREÇOS (EM %)</t>
  </si>
  <si>
    <t>PONTUAÇÃO POSITIVA OU NEGATIVA</t>
  </si>
  <si>
    <t>PERIODICIDADE DA ANÁLISE/TESTE</t>
  </si>
  <si>
    <t>GORDURA</t>
  </si>
  <si>
    <t>ATÉ 2,0%</t>
  </si>
  <si>
    <t>ATÉ 200 PONTOS</t>
  </si>
  <si>
    <t>2 VEZES AO MÊS</t>
  </si>
  <si>
    <t>ATÉ 1,0%</t>
  </si>
  <si>
    <t>ATÉ 100 PONTOS</t>
  </si>
  <si>
    <t>CÉLULAS SOMÁTICAS</t>
  </si>
  <si>
    <t>CONTAGEM BACTERIANA</t>
  </si>
  <si>
    <t>ESCALA DE ÁGIOS E DESÁGIOS PARA OS PARÂMETROS DE QUALIDADE DO LEITE</t>
  </si>
  <si>
    <t>PARÂMETROS DE VOLUME</t>
  </si>
  <si>
    <t>VOLUME DE LEITE ENTREGUE</t>
  </si>
  <si>
    <t>ATÉ 5,0%</t>
  </si>
  <si>
    <t>ATÉ 500 PONTOS</t>
  </si>
  <si>
    <t>ESTRATOS DE GORDURA</t>
  </si>
  <si>
    <t>ADICIONAL DE PREÇOS (EM %)</t>
  </si>
  <si>
    <t>PONTUAÇÃO</t>
  </si>
  <si>
    <t>ESCALA DE ÁGIOS E DESÁGIOS PARA ESTRATOS DE GORDURA</t>
  </si>
  <si>
    <t>ESCALA DE ÁGIOS E DESÁGIOS PARA ESTRATOS DE SÓLIDOS NÃO GORDUROSOS</t>
  </si>
  <si>
    <t>ESTRATOS DE SÓLIDOS NÃO GORDUROSOS</t>
  </si>
  <si>
    <t>ESCALA DE ÁGIOS E DESÁGIOS PARA ESTRATOS DE CÉLULAS SOMÁTICAS</t>
  </si>
  <si>
    <t>ESTRATOS DE CÉLULAS SOMÁTICAS</t>
  </si>
  <si>
    <t>DE 351 A 400 MIL</t>
  </si>
  <si>
    <t>ESTRATOS DE CONTAGEM BACTERIANA</t>
  </si>
  <si>
    <t>ESCALA DE ÁGIOS E DESÁGIOS PARA ESTRATOS DE CONTAGEM BACTERIANA</t>
  </si>
  <si>
    <t>ESCALA DE ÁGIOS E DESÁGIOS PARA ESTRATOS DE VOLUME ENTREGUE</t>
  </si>
  <si>
    <t>ESTRATOS DE VOLUME</t>
  </si>
  <si>
    <t>(Média mensal em litros/dia)</t>
  </si>
  <si>
    <t>PARÂMETROS PARA O CÁLCULO DE ÁGIOS E DESÁGIOS SOBRE O PREÇO DO LEITE PADRÃO</t>
  </si>
  <si>
    <t>ESCALA DE ÁGIOS E DESÁGIOS PARA O PARÂMETRO VOLUME ENTREGUE DE LEITE</t>
  </si>
  <si>
    <t>Mês</t>
  </si>
  <si>
    <t>Leite padrão</t>
  </si>
  <si>
    <t>Maior valor de referência</t>
  </si>
  <si>
    <t>Menor valor de referência</t>
  </si>
  <si>
    <t>Teor de gordura (em %)</t>
  </si>
  <si>
    <t>Sólidos não gordurosos (em %)</t>
  </si>
  <si>
    <t>Contagem bacteriana (em mil colônias)</t>
  </si>
  <si>
    <t>Contagem de células somáticas (em mil unidades)</t>
  </si>
  <si>
    <t>Volume entregue por dia (em litros)</t>
  </si>
  <si>
    <t>HISTÓRICO DOS PREÇOS</t>
  </si>
  <si>
    <t>HISTÓRICO DOS SEUS PARÂMETROS DE QUALIDADE</t>
  </si>
  <si>
    <t>Ágio/deságio do seu valor de referência (%)</t>
  </si>
  <si>
    <t>ÁGIOS DE PREÇOS (EM %)</t>
  </si>
  <si>
    <t>PONTUAÇÃO POSITIVA</t>
  </si>
  <si>
    <t>Volume litros/dia</t>
  </si>
  <si>
    <t>ORIENTAÇÕES AO USUÁRIO</t>
  </si>
  <si>
    <t>Entrada de dados</t>
  </si>
  <si>
    <t>b) Digite o preço de referência do leite padrão do mês correspondente aos resultados da análise de seu leite.</t>
  </si>
  <si>
    <t>a) Aqui você pode guardar o histórico dos preços do Conseleite e seu preço de referência, bem como o preço recebido. Basta preencher estas informações mensais ou colando os resultados gerados na planilha "Cálculo do preço de referência" no bloco superior desta planilha.</t>
  </si>
  <si>
    <t>b) Da mesma forma é possível armazenar os resultados das análises do seu leite, mensalmente.</t>
  </si>
  <si>
    <t>CÁLCULO DO PREÇO DO LEITE DE ACORDO COM A QUALIDADE</t>
  </si>
  <si>
    <t>Ágio/Deságio percentual sobre o preço de referência do leite padrão</t>
  </si>
  <si>
    <t>VARIÁVEIS DE QUALIDADE</t>
  </si>
  <si>
    <t xml:space="preserve">Na planilha "HISTÓRICO DE RESULTADOS" </t>
  </si>
  <si>
    <t xml:space="preserve">Na planilha "CALCULO DO PREÇO DO LEITE" </t>
  </si>
  <si>
    <t>Faixa de pontuação zero (leite padrão)</t>
  </si>
  <si>
    <t>Faixa de pontuação máxima</t>
  </si>
  <si>
    <t>Faixa de pontuação mínima</t>
  </si>
  <si>
    <t>ATENÇÃO: Digite os valores nas células em branco e depois anote esses valores na panilha "histórico de resultados".</t>
  </si>
  <si>
    <t>%</t>
  </si>
  <si>
    <t>mil unidades</t>
  </si>
  <si>
    <t>mil colônias</t>
  </si>
  <si>
    <t>litros/dia</t>
  </si>
  <si>
    <t>Unidades</t>
  </si>
  <si>
    <t>Máximo</t>
  </si>
  <si>
    <t>Leite Padrão</t>
  </si>
  <si>
    <t>Deságio</t>
  </si>
  <si>
    <t>Mínimo</t>
  </si>
  <si>
    <t>Zero ou ausente</t>
  </si>
  <si>
    <t>Elaboração: UFPR e Camara Técnica do Conseleite Rondônia</t>
  </si>
  <si>
    <t>DE 3,50 A 3,59%</t>
  </si>
  <si>
    <t>Maior que 3,90%</t>
  </si>
  <si>
    <t>Menor que 3,04%</t>
  </si>
  <si>
    <t>DE 8,70 A 8,79%</t>
  </si>
  <si>
    <t>Maior que 9,00%</t>
  </si>
  <si>
    <t>Menor que 8,49%</t>
  </si>
  <si>
    <t>Até 200 Mil</t>
  </si>
  <si>
    <t>Acima de 681 Mil</t>
  </si>
  <si>
    <t>DE 3000 A 349 MIL</t>
  </si>
  <si>
    <t>Até 150 Mil</t>
  </si>
  <si>
    <t>Acima de 650 Mil</t>
  </si>
  <si>
    <t>ATÉ 25 litros/dia</t>
  </si>
  <si>
    <t>Acima de 201 litros/dia</t>
  </si>
  <si>
    <t>CONSELEITE-RO - CÁLCULO DO PREÇO DE REFERÊNCIA DO LEITE DO PRODUTOR</t>
  </si>
  <si>
    <t>Este aplicativo do Conseleite-RO auxilia o produtor rural de leite do estado de Rondônia a:</t>
  </si>
  <si>
    <t>1-) Calcular o valor de referência do seu leite, de acordo com os parâmetros de qualidade e volume do Conseleite/RO;</t>
  </si>
  <si>
    <t>2-) Comparar o preço do seu leite com o preço de referência do Conseleite/RO</t>
  </si>
  <si>
    <t>c) Preço de referência do leite padrão no mês, divulgado pelo Conseleite/RO</t>
  </si>
  <si>
    <t>Para uso deste aplicativo você deve digitar todos os valores dos resultados das análises do leite nas células em branco. As demais células contém fórmulas e estão protegidas, de maneira a gerar os resultados de acordo com os parâmetros de ágios e deságios definidos pelo Conseleite Rondônia</t>
  </si>
  <si>
    <t>a) Digite os resultados da análise mensal da qualidade do leite, nas células em branco correspondentes a cada um dos cinco parâmetros.</t>
  </si>
  <si>
    <t>c) Os valores que são apresentados nos meses de janeiro/14 a fevereiro/15 são apenas exemplos. Digite seus valores nas células correspondentes.</t>
  </si>
  <si>
    <t>ATÉ 3,0%</t>
  </si>
  <si>
    <t>ATÉ 300 PONTOS</t>
  </si>
  <si>
    <t>ESTRATO SECO DESENGORDURADO</t>
  </si>
  <si>
    <t>ATÉ 4,0%</t>
  </si>
  <si>
    <t>ATÉ 400 PONTOS</t>
  </si>
  <si>
    <t>CONSELEITE RONDÔNIA</t>
  </si>
  <si>
    <t>MAIOR QUE 3,90%</t>
  </si>
  <si>
    <t>DE 3,80 A 3,89%</t>
  </si>
  <si>
    <t>DE 3,70 A 3,79%</t>
  </si>
  <si>
    <t>DE 3,60 A 3,69%</t>
  </si>
  <si>
    <t>DE 3,40 A 3,49%</t>
  </si>
  <si>
    <t>DE 3,30 A 3,39%</t>
  </si>
  <si>
    <t>DE 3,20 A 3,29%</t>
  </si>
  <si>
    <t>DE 3,15 A 3,19%</t>
  </si>
  <si>
    <t>DE 3,10 A 3,14%</t>
  </si>
  <si>
    <t>DE 3,05 A 3,09%</t>
  </si>
  <si>
    <t>DE 3,00 A 3,04%</t>
  </si>
  <si>
    <t>MAIOR QUE 9,00%</t>
  </si>
  <si>
    <t>DE 8,90 A 8,99%</t>
  </si>
  <si>
    <t>DE 8,80 A 8,89%</t>
  </si>
  <si>
    <t>DE 8,60 A 8,69%</t>
  </si>
  <si>
    <t>DE 8,50 A 8,59%</t>
  </si>
  <si>
    <t>DE 8,40 A 8,49%</t>
  </si>
  <si>
    <t>MENOR QUE 200 MIL</t>
  </si>
  <si>
    <t>DE 201 A 250 MIL</t>
  </si>
  <si>
    <t>DE 251 A 300 MIL</t>
  </si>
  <si>
    <t>DE 301 A 350 MIL</t>
  </si>
  <si>
    <t>DE 401 A 470 MIL</t>
  </si>
  <si>
    <t>DE 471 A 540 MIL</t>
  </si>
  <si>
    <t>DE 541 A 610 MIL</t>
  </si>
  <si>
    <t>DE 611 A 680 MIL</t>
  </si>
  <si>
    <t>DE 681 A 750 MIL</t>
  </si>
  <si>
    <t>ATÉ 150 MIL</t>
  </si>
  <si>
    <t>DE 150 A 199 MIL</t>
  </si>
  <si>
    <t>DE 200 A 249 MIL</t>
  </si>
  <si>
    <t>DE 250 A 299 MIL</t>
  </si>
  <si>
    <t>DE 300 A 349 MIL</t>
  </si>
  <si>
    <t>DE 350 A 449 MIL</t>
  </si>
  <si>
    <t>DE 450 A 549 MIL</t>
  </si>
  <si>
    <t>DE 550 A 649 MIL</t>
  </si>
  <si>
    <t>DE 650 A 750 MIL</t>
  </si>
  <si>
    <t>Até 25</t>
  </si>
  <si>
    <t>De 26 a 50</t>
  </si>
  <si>
    <t>De 51 a 75</t>
  </si>
  <si>
    <t>De 76 a 100</t>
  </si>
  <si>
    <t>Acima de 201</t>
  </si>
  <si>
    <t>PARÂMETROS DE QUALIDADE</t>
  </si>
  <si>
    <t>Seu valor de referência do leite analisado</t>
  </si>
  <si>
    <t>Seu preço efetivamente recebido</t>
  </si>
  <si>
    <t>De 101 a 150</t>
  </si>
  <si>
    <t>De 151 a 200</t>
  </si>
  <si>
    <t>Ágio 1</t>
  </si>
  <si>
    <t>Ágio 2</t>
  </si>
</sst>
</file>

<file path=xl/styles.xml><?xml version="1.0" encoding="utf-8"?>
<styleSheet xmlns="http://schemas.openxmlformats.org/spreadsheetml/2006/main">
  <numFmts count="5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0.0%"/>
    <numFmt numFmtId="183" formatCode="#,##0.0"/>
    <numFmt numFmtId="184" formatCode="0.000"/>
    <numFmt numFmtId="185" formatCode="0.0000"/>
    <numFmt numFmtId="186" formatCode="#,##0.000"/>
    <numFmt numFmtId="187" formatCode="0.00000"/>
    <numFmt numFmtId="188" formatCode="0.000000"/>
    <numFmt numFmtId="189" formatCode="_(* #,##0.0000_);_(* \(#,##0.0000\);_(* &quot;-&quot;??_);_(@_)"/>
    <numFmt numFmtId="190" formatCode="0.0000000"/>
    <numFmt numFmtId="191" formatCode="0.00000000"/>
    <numFmt numFmtId="192" formatCode="0.000000000"/>
    <numFmt numFmtId="193" formatCode="0.000%"/>
    <numFmt numFmtId="194" formatCode="0.0000%"/>
    <numFmt numFmtId="195" formatCode="#,##0.0000"/>
    <numFmt numFmtId="196" formatCode="#,##0.00000000"/>
    <numFmt numFmtId="197" formatCode="&quot;Sim&quot;;&quot;Sim&quot;;&quot;Não&quot;"/>
    <numFmt numFmtId="198" formatCode="&quot;Verdadeiro&quot;;&quot;Verdadeiro&quot;;&quot;Falso&quot;"/>
    <numFmt numFmtId="199" formatCode="&quot;Ativar&quot;;&quot;Ativar&quot;;&quot;Desativar&quot;"/>
    <numFmt numFmtId="200" formatCode="#,##0.00000"/>
    <numFmt numFmtId="201" formatCode="#,##0.000000"/>
    <numFmt numFmtId="202" formatCode="#,##0.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.25"/>
      <color indexed="8"/>
      <name val="Arial"/>
      <family val="0"/>
    </font>
    <font>
      <b/>
      <sz val="9.25"/>
      <color indexed="8"/>
      <name val="Arial"/>
      <family val="0"/>
    </font>
    <font>
      <b/>
      <sz val="10.35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/>
    </xf>
    <xf numFmtId="4" fontId="0" fillId="34" borderId="10" xfId="62" applyNumberForma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62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4" fontId="0" fillId="0" borderId="0" xfId="62" applyNumberFormat="1" applyFill="1" applyBorder="1" applyAlignment="1">
      <alignment/>
    </xf>
    <xf numFmtId="195" fontId="1" fillId="0" borderId="0" xfId="0" applyNumberFormat="1" applyFont="1" applyFill="1" applyBorder="1" applyAlignment="1">
      <alignment/>
    </xf>
    <xf numFmtId="196" fontId="0" fillId="0" borderId="0" xfId="0" applyNumberFormat="1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 horizontal="left" vertical="center" wrapText="1"/>
    </xf>
    <xf numFmtId="0" fontId="1" fillId="37" borderId="12" xfId="0" applyFont="1" applyFill="1" applyBorder="1" applyAlignment="1">
      <alignment horizontal="left" vertical="center" wrapText="1"/>
    </xf>
    <xf numFmtId="0" fontId="1" fillId="37" borderId="13" xfId="0" applyFont="1" applyFill="1" applyBorder="1" applyAlignment="1">
      <alignment horizontal="left" vertical="center" wrapText="1"/>
    </xf>
    <xf numFmtId="0" fontId="1" fillId="37" borderId="14" xfId="0" applyFont="1" applyFill="1" applyBorder="1" applyAlignment="1">
      <alignment horizontal="left" vertical="center" wrapText="1"/>
    </xf>
    <xf numFmtId="0" fontId="1" fillId="38" borderId="12" xfId="0" applyFont="1" applyFill="1" applyBorder="1" applyAlignment="1">
      <alignment horizontal="left" vertical="center" wrapText="1"/>
    </xf>
    <xf numFmtId="0" fontId="1" fillId="38" borderId="13" xfId="0" applyFont="1" applyFill="1" applyBorder="1" applyAlignment="1">
      <alignment horizontal="left" vertical="center" wrapText="1"/>
    </xf>
    <xf numFmtId="0" fontId="1" fillId="38" borderId="14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4" fillId="38" borderId="13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/>
    </xf>
    <xf numFmtId="4" fontId="0" fillId="34" borderId="0" xfId="0" applyNumberFormat="1" applyFill="1" applyAlignment="1">
      <alignment/>
    </xf>
    <xf numFmtId="196" fontId="0" fillId="34" borderId="0" xfId="0" applyNumberForma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38" borderId="0" xfId="0" applyFill="1" applyAlignment="1">
      <alignment/>
    </xf>
    <xf numFmtId="0" fontId="0" fillId="38" borderId="10" xfId="0" applyFill="1" applyBorder="1" applyAlignment="1">
      <alignment/>
    </xf>
    <xf numFmtId="0" fontId="0" fillId="38" borderId="10" xfId="0" applyFill="1" applyBorder="1" applyAlignment="1">
      <alignment horizontal="center" vertical="top" wrapText="1"/>
    </xf>
    <xf numFmtId="17" fontId="0" fillId="38" borderId="10" xfId="0" applyNumberFormat="1" applyFill="1" applyBorder="1" applyAlignment="1">
      <alignment/>
    </xf>
    <xf numFmtId="0" fontId="1" fillId="38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vertical="center"/>
    </xf>
    <xf numFmtId="0" fontId="0" fillId="38" borderId="10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8" borderId="0" xfId="0" applyFont="1" applyFill="1" applyBorder="1" applyAlignment="1">
      <alignment horizontal="left" vertical="center" wrapText="1"/>
    </xf>
    <xf numFmtId="4" fontId="0" fillId="34" borderId="17" xfId="62" applyNumberFormat="1" applyFill="1" applyBorder="1" applyAlignment="1">
      <alignment/>
    </xf>
    <xf numFmtId="4" fontId="1" fillId="39" borderId="18" xfId="62" applyNumberFormat="1" applyFont="1" applyFill="1" applyBorder="1" applyAlignment="1">
      <alignment horizontal="center" vertical="center" wrapText="1"/>
    </xf>
    <xf numFmtId="0" fontId="1" fillId="37" borderId="0" xfId="0" applyFont="1" applyFill="1" applyAlignment="1">
      <alignment/>
    </xf>
    <xf numFmtId="0" fontId="0" fillId="37" borderId="0" xfId="0" applyFill="1" applyAlignment="1">
      <alignment/>
    </xf>
    <xf numFmtId="195" fontId="1" fillId="37" borderId="11" xfId="0" applyNumberFormat="1" applyFont="1" applyFill="1" applyBorder="1" applyAlignment="1">
      <alignment/>
    </xf>
    <xf numFmtId="4" fontId="1" fillId="34" borderId="10" xfId="62" applyNumberFormat="1" applyFont="1" applyFill="1" applyBorder="1" applyAlignment="1">
      <alignment horizontal="center"/>
    </xf>
    <xf numFmtId="194" fontId="1" fillId="37" borderId="10" xfId="54" applyNumberFormat="1" applyFont="1" applyFill="1" applyBorder="1" applyAlignment="1">
      <alignment horizontal="center"/>
    </xf>
    <xf numFmtId="4" fontId="1" fillId="37" borderId="10" xfId="62" applyNumberFormat="1" applyFont="1" applyFill="1" applyBorder="1" applyAlignment="1">
      <alignment horizontal="center"/>
    </xf>
    <xf numFmtId="4" fontId="0" fillId="34" borderId="15" xfId="62" applyNumberFormat="1" applyFill="1" applyBorder="1" applyAlignment="1">
      <alignment/>
    </xf>
    <xf numFmtId="4" fontId="1" fillId="39" borderId="19" xfId="62" applyNumberFormat="1" applyFont="1" applyFill="1" applyBorder="1" applyAlignment="1">
      <alignment horizontal="center" vertical="center" wrapText="1"/>
    </xf>
    <xf numFmtId="4" fontId="0" fillId="36" borderId="20" xfId="0" applyNumberFormat="1" applyFill="1" applyBorder="1" applyAlignment="1">
      <alignment/>
    </xf>
    <xf numFmtId="4" fontId="0" fillId="36" borderId="21" xfId="0" applyNumberFormat="1" applyFill="1" applyBorder="1" applyAlignment="1">
      <alignment/>
    </xf>
    <xf numFmtId="4" fontId="0" fillId="37" borderId="20" xfId="0" applyNumberFormat="1" applyFill="1" applyBorder="1" applyAlignment="1">
      <alignment/>
    </xf>
    <xf numFmtId="4" fontId="0" fillId="37" borderId="21" xfId="0" applyNumberFormat="1" applyFill="1" applyBorder="1" applyAlignment="1">
      <alignment/>
    </xf>
    <xf numFmtId="4" fontId="9" fillId="39" borderId="19" xfId="62" applyNumberFormat="1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top" wrapText="1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4" fontId="1" fillId="0" borderId="28" xfId="62" applyNumberFormat="1" applyFont="1" applyFill="1" applyBorder="1" applyAlignment="1" applyProtection="1">
      <alignment horizontal="center" vertical="center"/>
      <protection locked="0"/>
    </xf>
    <xf numFmtId="4" fontId="1" fillId="0" borderId="23" xfId="62" applyNumberFormat="1" applyFont="1" applyFill="1" applyBorder="1" applyAlignment="1" applyProtection="1">
      <alignment horizontal="center" vertical="center"/>
      <protection locked="0"/>
    </xf>
    <xf numFmtId="4" fontId="1" fillId="0" borderId="24" xfId="62" applyNumberFormat="1" applyFont="1" applyFill="1" applyBorder="1" applyAlignment="1" applyProtection="1">
      <alignment horizontal="center" vertical="center"/>
      <protection locked="0"/>
    </xf>
    <xf numFmtId="195" fontId="1" fillId="0" borderId="11" xfId="0" applyNumberFormat="1" applyFont="1" applyBorder="1" applyAlignment="1" applyProtection="1">
      <alignment/>
      <protection locked="0"/>
    </xf>
    <xf numFmtId="2" fontId="0" fillId="38" borderId="10" xfId="0" applyNumberFormat="1" applyFill="1" applyBorder="1" applyAlignment="1">
      <alignment/>
    </xf>
    <xf numFmtId="171" fontId="0" fillId="0" borderId="10" xfId="62" applyFont="1" applyFill="1" applyBorder="1" applyAlignment="1" applyProtection="1">
      <alignment/>
      <protection locked="0"/>
    </xf>
    <xf numFmtId="185" fontId="0" fillId="0" borderId="10" xfId="0" applyNumberFormat="1" applyFill="1" applyBorder="1" applyAlignment="1" applyProtection="1">
      <alignment/>
      <protection locked="0"/>
    </xf>
    <xf numFmtId="0" fontId="10" fillId="36" borderId="29" xfId="0" applyFont="1" applyFill="1" applyBorder="1" applyAlignment="1">
      <alignment/>
    </xf>
    <xf numFmtId="0" fontId="10" fillId="37" borderId="29" xfId="0" applyFont="1" applyFill="1" applyBorder="1" applyAlignment="1">
      <alignment/>
    </xf>
    <xf numFmtId="0" fontId="5" fillId="40" borderId="0" xfId="0" applyFont="1" applyFill="1" applyAlignment="1">
      <alignment/>
    </xf>
    <xf numFmtId="0" fontId="50" fillId="0" borderId="14" xfId="0" applyFont="1" applyBorder="1" applyAlignment="1">
      <alignment/>
    </xf>
    <xf numFmtId="10" fontId="50" fillId="0" borderId="21" xfId="0" applyNumberFormat="1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10" fontId="50" fillId="0" borderId="30" xfId="0" applyNumberFormat="1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1" fillId="0" borderId="14" xfId="0" applyFont="1" applyBorder="1" applyAlignment="1">
      <alignment/>
    </xf>
    <xf numFmtId="10" fontId="51" fillId="0" borderId="30" xfId="0" applyNumberFormat="1" applyFont="1" applyBorder="1" applyAlignment="1">
      <alignment horizontal="center"/>
    </xf>
    <xf numFmtId="0" fontId="50" fillId="0" borderId="11" xfId="0" applyFont="1" applyBorder="1" applyAlignment="1">
      <alignment/>
    </xf>
    <xf numFmtId="10" fontId="50" fillId="0" borderId="30" xfId="0" applyNumberFormat="1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 wrapText="1"/>
    </xf>
    <xf numFmtId="0" fontId="51" fillId="0" borderId="30" xfId="0" applyFont="1" applyBorder="1" applyAlignment="1">
      <alignment horizontal="center"/>
    </xf>
    <xf numFmtId="0" fontId="50" fillId="0" borderId="30" xfId="0" applyFont="1" applyBorder="1" applyAlignment="1">
      <alignment horizontal="center" wrapText="1"/>
    </xf>
    <xf numFmtId="0" fontId="50" fillId="0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0" fontId="50" fillId="0" borderId="21" xfId="0" applyFont="1" applyBorder="1" applyAlignment="1">
      <alignment horizontal="center" wrapText="1"/>
    </xf>
    <xf numFmtId="0" fontId="51" fillId="0" borderId="3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8" borderId="1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 wrapText="1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9" borderId="35" xfId="0" applyFont="1" applyFill="1" applyBorder="1" applyAlignment="1">
      <alignment vertical="center" wrapText="1"/>
    </xf>
    <xf numFmtId="0" fontId="1" fillId="0" borderId="36" xfId="0" applyFont="1" applyBorder="1" applyAlignment="1">
      <alignment vertical="center"/>
    </xf>
    <xf numFmtId="0" fontId="1" fillId="35" borderId="37" xfId="0" applyFont="1" applyFill="1" applyBorder="1" applyAlignment="1">
      <alignment horizontal="justify" vertical="center" wrapText="1"/>
    </xf>
    <xf numFmtId="0" fontId="1" fillId="35" borderId="38" xfId="0" applyFont="1" applyFill="1" applyBorder="1" applyAlignment="1">
      <alignment horizontal="justify" vertical="center" wrapText="1"/>
    </xf>
    <xf numFmtId="0" fontId="1" fillId="35" borderId="39" xfId="0" applyFont="1" applyFill="1" applyBorder="1" applyAlignment="1">
      <alignment horizontal="justify" vertical="center" wrapText="1"/>
    </xf>
    <xf numFmtId="0" fontId="1" fillId="35" borderId="40" xfId="0" applyFont="1" applyFill="1" applyBorder="1" applyAlignment="1">
      <alignment horizontal="justify" vertical="center" wrapText="1"/>
    </xf>
    <xf numFmtId="0" fontId="1" fillId="35" borderId="41" xfId="0" applyFont="1" applyFill="1" applyBorder="1" applyAlignment="1">
      <alignment horizontal="justify" vertical="center" wrapText="1"/>
    </xf>
    <xf numFmtId="0" fontId="1" fillId="35" borderId="42" xfId="0" applyFont="1" applyFill="1" applyBorder="1" applyAlignment="1">
      <alignment horizontal="justify" vertical="center" wrapText="1"/>
    </xf>
    <xf numFmtId="4" fontId="1" fillId="34" borderId="37" xfId="0" applyNumberFormat="1" applyFont="1" applyFill="1" applyBorder="1" applyAlignment="1">
      <alignment horizontal="center" vertical="center"/>
    </xf>
    <xf numFmtId="4" fontId="1" fillId="34" borderId="43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17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1575"/>
          <c:w val="0.945"/>
          <c:h val="0.87475"/>
        </c:manualLayout>
      </c:layout>
      <c:lineChart>
        <c:grouping val="standard"/>
        <c:varyColors val="0"/>
        <c:ser>
          <c:idx val="0"/>
          <c:order val="0"/>
          <c:tx>
            <c:strRef>
              <c:f>'HISTORICO DE RESULTADOS'!$B$2</c:f>
              <c:strCache>
                <c:ptCount val="1"/>
                <c:pt idx="0">
                  <c:v>Maior valor de referência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'HISTORICO DE RESULTADOS'!$A$3:$A$26</c:f>
              <c:strCache>
                <c:ptCount val="24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</c:strCache>
            </c:strRef>
          </c:cat>
          <c:val>
            <c:numRef>
              <c:f>'HISTORICO DE RESULTADOS'!$B$3:$B$26</c:f>
              <c:numCache>
                <c:ptCount val="24"/>
                <c:pt idx="0">
                  <c:v>0.8481113273816727</c:v>
                </c:pt>
                <c:pt idx="1">
                  <c:v>0.8544394614111603</c:v>
                </c:pt>
                <c:pt idx="2">
                  <c:v>0.8737566418168652</c:v>
                </c:pt>
                <c:pt idx="3">
                  <c:v>0.9386638159171213</c:v>
                </c:pt>
                <c:pt idx="4">
                  <c:v>0.9304625430699732</c:v>
                </c:pt>
                <c:pt idx="5">
                  <c:v>0.9330706103012301</c:v>
                </c:pt>
                <c:pt idx="6">
                  <c:v>0.9065559008258008</c:v>
                </c:pt>
                <c:pt idx="7">
                  <c:v>0.9000647818361014</c:v>
                </c:pt>
                <c:pt idx="8">
                  <c:v>0.90099509350753</c:v>
                </c:pt>
                <c:pt idx="9">
                  <c:v>0.8650103328347905</c:v>
                </c:pt>
                <c:pt idx="10">
                  <c:v>0.8608114437231149</c:v>
                </c:pt>
                <c:pt idx="11">
                  <c:v>0.8620343756015482</c:v>
                </c:pt>
                <c:pt idx="12">
                  <c:v>0.8415153565216494</c:v>
                </c:pt>
                <c:pt idx="13">
                  <c:v>0.8408578186244683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'HISTORICO DE RESULTADOS'!$C$2</c:f>
              <c:strCache>
                <c:ptCount val="1"/>
                <c:pt idx="0">
                  <c:v>Leite padrão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'HISTORICO DE RESULTADOS'!$A$3:$A$26</c:f>
              <c:strCache>
                <c:ptCount val="24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</c:strCache>
            </c:strRef>
          </c:cat>
          <c:val>
            <c:numRef>
              <c:f>'HISTORICO DE RESULTADOS'!$C$3:$C$26</c:f>
              <c:numCache>
                <c:ptCount val="24"/>
                <c:pt idx="0">
                  <c:v>0.737488110766672</c:v>
                </c:pt>
                <c:pt idx="1">
                  <c:v>0.7429908360097047</c:v>
                </c:pt>
                <c:pt idx="2">
                  <c:v>0.7597883841885785</c:v>
                </c:pt>
                <c:pt idx="3">
                  <c:v>0.8162294051453229</c:v>
                </c:pt>
                <c:pt idx="4">
                  <c:v>0.8090978635391072</c:v>
                </c:pt>
                <c:pt idx="5">
                  <c:v>0.8113657480880262</c:v>
                </c:pt>
                <c:pt idx="6">
                  <c:v>0.7883094789789573</c:v>
                </c:pt>
                <c:pt idx="7">
                  <c:v>0.7826650276835665</c:v>
                </c:pt>
                <c:pt idx="8">
                  <c:v>0.783473994354374</c:v>
                </c:pt>
                <c:pt idx="9">
                  <c:v>0.7521828981172092</c:v>
                </c:pt>
                <c:pt idx="10">
                  <c:v>0.748531690194013</c:v>
                </c:pt>
                <c:pt idx="11">
                  <c:v>0.7495951092187376</c:v>
                </c:pt>
                <c:pt idx="12">
                  <c:v>0.7317524839318691</c:v>
                </c:pt>
                <c:pt idx="13">
                  <c:v>0.7311807118473638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'HISTORICO DE RESULTADOS'!$D$2</c:f>
              <c:strCache>
                <c:ptCount val="1"/>
                <c:pt idx="0">
                  <c:v>Menor valor de referência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'HISTORICO DE RESULTADOS'!$A$3:$A$26</c:f>
              <c:strCache>
                <c:ptCount val="24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</c:strCache>
            </c:strRef>
          </c:cat>
          <c:val>
            <c:numRef>
              <c:f>'HISTORICO DE RESULTADOS'!$D$3:$D$26</c:f>
              <c:numCache>
                <c:ptCount val="24"/>
                <c:pt idx="0">
                  <c:v>0.6704437370606109</c:v>
                </c:pt>
                <c:pt idx="1">
                  <c:v>0.675446214554277</c:v>
                </c:pt>
                <c:pt idx="2">
                  <c:v>0.6907167128987077</c:v>
                </c:pt>
                <c:pt idx="3">
                  <c:v>0.7420267319502936</c:v>
                </c:pt>
                <c:pt idx="4">
                  <c:v>0.7355435123082792</c:v>
                </c:pt>
                <c:pt idx="5">
                  <c:v>0.7376052255345692</c:v>
                </c:pt>
                <c:pt idx="6">
                  <c:v>0.7166449808899611</c:v>
                </c:pt>
                <c:pt idx="7">
                  <c:v>0.711513661530515</c:v>
                </c:pt>
                <c:pt idx="8">
                  <c:v>0.7122490857767036</c:v>
                </c:pt>
                <c:pt idx="9">
                  <c:v>0.6838026346520083</c:v>
                </c:pt>
                <c:pt idx="10">
                  <c:v>0.68048335472183</c:v>
                </c:pt>
                <c:pt idx="11">
                  <c:v>0.6814500992897614</c:v>
                </c:pt>
                <c:pt idx="12">
                  <c:v>0.6652295308471536</c:v>
                </c:pt>
                <c:pt idx="13">
                  <c:v>0.6647097380430579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'HISTORICO DE RESULTADOS'!$E$2</c:f>
              <c:strCache>
                <c:ptCount val="1"/>
                <c:pt idx="0">
                  <c:v>Seu valor de referência do leite analisado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'HISTORICO DE RESULTADOS'!$A$3:$A$26</c:f>
              <c:strCache>
                <c:ptCount val="24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</c:strCache>
            </c:strRef>
          </c:cat>
          <c:val>
            <c:numRef>
              <c:f>'HISTORICO DE RESULTADOS'!$E$3:$E$26</c:f>
              <c:numCache>
                <c:ptCount val="24"/>
                <c:pt idx="0">
                  <c:v>0.8406615228617814</c:v>
                </c:pt>
                <c:pt idx="1">
                  <c:v>0.9199047863849119</c:v>
                </c:pt>
                <c:pt idx="2">
                  <c:v>0.9081510198862209</c:v>
                </c:pt>
                <c:pt idx="3">
                  <c:v>0.8823419504183693</c:v>
                </c:pt>
                <c:pt idx="4">
                  <c:v>0.9108702386536877</c:v>
                </c:pt>
                <c:pt idx="5">
                  <c:v>0.9042079652786196</c:v>
                </c:pt>
                <c:pt idx="6">
                  <c:v>0.9039923643675434</c:v>
                </c:pt>
                <c:pt idx="7">
                  <c:v>0.9692511829201977</c:v>
                </c:pt>
                <c:pt idx="8">
                  <c:v>0.9720554375172783</c:v>
                </c:pt>
                <c:pt idx="9">
                  <c:v>0.7621224896576118</c:v>
                </c:pt>
                <c:pt idx="10">
                  <c:v>0.7294417758149765</c:v>
                </c:pt>
                <c:pt idx="11">
                  <c:v>0.7191691888438606</c:v>
                </c:pt>
                <c:pt idx="12">
                  <c:v>0.7310456976097152</c:v>
                </c:pt>
                <c:pt idx="13">
                  <c:v>0.73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'HISTORICO DE RESULTADOS'!$F$2</c:f>
              <c:strCache>
                <c:ptCount val="1"/>
                <c:pt idx="0">
                  <c:v>Seu preço efetivamente recebido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'HISTORICO DE RESULTADOS'!$F$3:$F$26</c:f>
              <c:numCache>
                <c:ptCount val="24"/>
                <c:pt idx="0">
                  <c:v>0.8406615228617814</c:v>
                </c:pt>
                <c:pt idx="1">
                  <c:v>0.9199047863849119</c:v>
                </c:pt>
                <c:pt idx="2">
                  <c:v>0.9081510198862209</c:v>
                </c:pt>
                <c:pt idx="3">
                  <c:v>0.8823419504183693</c:v>
                </c:pt>
                <c:pt idx="4">
                  <c:v>0.9108702386536877</c:v>
                </c:pt>
                <c:pt idx="5">
                  <c:v>0.9042079652786196</c:v>
                </c:pt>
                <c:pt idx="6">
                  <c:v>0.9039923643675434</c:v>
                </c:pt>
                <c:pt idx="7">
                  <c:v>0.9692511829201977</c:v>
                </c:pt>
                <c:pt idx="8">
                  <c:v>0.9720554375172783</c:v>
                </c:pt>
                <c:pt idx="9">
                  <c:v>0.7621224896576118</c:v>
                </c:pt>
                <c:pt idx="10">
                  <c:v>0.7294417758149765</c:v>
                </c:pt>
                <c:pt idx="11">
                  <c:v>0.7191691888438606</c:v>
                </c:pt>
                <c:pt idx="12">
                  <c:v>0.7310456976097152</c:v>
                </c:pt>
                <c:pt idx="13">
                  <c:v>0.72</c:v>
                </c:pt>
              </c:numCache>
            </c:numRef>
          </c:val>
          <c:smooth val="0"/>
        </c:ser>
        <c:marker val="1"/>
        <c:axId val="21113313"/>
        <c:axId val="55802090"/>
      </c:lineChart>
      <c:dateAx>
        <c:axId val="2111331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02090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5802090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R$/litro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13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25"/>
          <c:y val="0.9075"/>
          <c:w val="0.92575"/>
          <c:h val="0.09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1775"/>
          <c:w val="0.9415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'HISTORICO DE RESULTADOS'!$C$2</c:f>
              <c:strCache>
                <c:ptCount val="1"/>
                <c:pt idx="0">
                  <c:v>Leite padrão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'HISTORICO DE RESULTADOS'!$A$3:$A$26</c:f>
              <c:strCache>
                <c:ptCount val="24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</c:strCache>
            </c:strRef>
          </c:cat>
          <c:val>
            <c:numRef>
              <c:f>'HISTORICO DE RESULTADOS'!$C$3:$C$26</c:f>
              <c:numCache>
                <c:ptCount val="24"/>
                <c:pt idx="0">
                  <c:v>0.737488110766672</c:v>
                </c:pt>
                <c:pt idx="1">
                  <c:v>0.7429908360097047</c:v>
                </c:pt>
                <c:pt idx="2">
                  <c:v>0.7597883841885785</c:v>
                </c:pt>
                <c:pt idx="3">
                  <c:v>0.8162294051453229</c:v>
                </c:pt>
                <c:pt idx="4">
                  <c:v>0.8090978635391072</c:v>
                </c:pt>
                <c:pt idx="5">
                  <c:v>0.8113657480880262</c:v>
                </c:pt>
                <c:pt idx="6">
                  <c:v>0.7883094789789573</c:v>
                </c:pt>
                <c:pt idx="7">
                  <c:v>0.7826650276835665</c:v>
                </c:pt>
                <c:pt idx="8">
                  <c:v>0.783473994354374</c:v>
                </c:pt>
                <c:pt idx="9">
                  <c:v>0.7521828981172092</c:v>
                </c:pt>
                <c:pt idx="10">
                  <c:v>0.748531690194013</c:v>
                </c:pt>
                <c:pt idx="11">
                  <c:v>0.7495951092187376</c:v>
                </c:pt>
                <c:pt idx="12">
                  <c:v>0.7317524839318691</c:v>
                </c:pt>
                <c:pt idx="13">
                  <c:v>0.7311807118473638</c:v>
                </c:pt>
              </c:numCache>
            </c:numRef>
          </c:val>
        </c:ser>
        <c:ser>
          <c:idx val="1"/>
          <c:order val="1"/>
          <c:tx>
            <c:strRef>
              <c:f>'HISTORICO DE RESULTADOS'!$F$2</c:f>
              <c:strCache>
                <c:ptCount val="1"/>
                <c:pt idx="0">
                  <c:v>Seu preço efetivamente recebido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'HISTORICO DE RESULTADOS'!$A$3:$A$26</c:f>
              <c:strCache>
                <c:ptCount val="24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</c:strCache>
            </c:strRef>
          </c:cat>
          <c:val>
            <c:numRef>
              <c:f>'HISTORICO DE RESULTADOS'!$F$3:$F$26</c:f>
              <c:numCache>
                <c:ptCount val="24"/>
                <c:pt idx="0">
                  <c:v>0.8406615228617814</c:v>
                </c:pt>
                <c:pt idx="1">
                  <c:v>0.9199047863849119</c:v>
                </c:pt>
                <c:pt idx="2">
                  <c:v>0.9081510198862209</c:v>
                </c:pt>
                <c:pt idx="3">
                  <c:v>0.8823419504183693</c:v>
                </c:pt>
                <c:pt idx="4">
                  <c:v>0.9108702386536877</c:v>
                </c:pt>
                <c:pt idx="5">
                  <c:v>0.9042079652786196</c:v>
                </c:pt>
                <c:pt idx="6">
                  <c:v>0.9039923643675434</c:v>
                </c:pt>
                <c:pt idx="7">
                  <c:v>0.9692511829201977</c:v>
                </c:pt>
                <c:pt idx="8">
                  <c:v>0.9720554375172783</c:v>
                </c:pt>
                <c:pt idx="9">
                  <c:v>0.7621224896576118</c:v>
                </c:pt>
                <c:pt idx="10">
                  <c:v>0.7294417758149765</c:v>
                </c:pt>
                <c:pt idx="11">
                  <c:v>0.7191691888438606</c:v>
                </c:pt>
                <c:pt idx="12">
                  <c:v>0.7310456976097152</c:v>
                </c:pt>
                <c:pt idx="13">
                  <c:v>0.72</c:v>
                </c:pt>
              </c:numCache>
            </c:numRef>
          </c:val>
        </c:ser>
        <c:axId val="32456763"/>
        <c:axId val="23675412"/>
      </c:barChart>
      <c:dateAx>
        <c:axId val="3245676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75412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3675412"/>
        <c:scaling>
          <c:orientation val="minMax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R$/litro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56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4"/>
          <c:y val="0.95175"/>
          <c:w val="0.528"/>
          <c:h val="0.03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1675"/>
          <c:w val="0.945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'HISTORICO DE RESULTADOS'!$A$30:$A$53</c:f>
              <c:strCache>
                <c:ptCount val="24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</c:strCache>
            </c:strRef>
          </c:cat>
          <c:val>
            <c:numRef>
              <c:f>'HISTORICO DE RESULTADOS'!$B$30:$B$53</c:f>
              <c:numCache>
                <c:ptCount val="24"/>
                <c:pt idx="0">
                  <c:v>3.2</c:v>
                </c:pt>
                <c:pt idx="1">
                  <c:v>3.3</c:v>
                </c:pt>
                <c:pt idx="2">
                  <c:v>3.3</c:v>
                </c:pt>
                <c:pt idx="3">
                  <c:v>3.32</c:v>
                </c:pt>
                <c:pt idx="4">
                  <c:v>3.45</c:v>
                </c:pt>
                <c:pt idx="5">
                  <c:v>3.47</c:v>
                </c:pt>
                <c:pt idx="6">
                  <c:v>3.5</c:v>
                </c:pt>
                <c:pt idx="7">
                  <c:v>3.6</c:v>
                </c:pt>
                <c:pt idx="8">
                  <c:v>3.6</c:v>
                </c:pt>
                <c:pt idx="9">
                  <c:v>3.47</c:v>
                </c:pt>
                <c:pt idx="10">
                  <c:v>3.55</c:v>
                </c:pt>
                <c:pt idx="11">
                  <c:v>3.47</c:v>
                </c:pt>
                <c:pt idx="12">
                  <c:v>3.56</c:v>
                </c:pt>
                <c:pt idx="13">
                  <c:v>3.5</c:v>
                </c:pt>
              </c:numCache>
            </c:numRef>
          </c:val>
        </c:ser>
        <c:axId val="11752117"/>
        <c:axId val="38660190"/>
      </c:barChart>
      <c:dateAx>
        <c:axId val="1175211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60190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8660190"/>
        <c:scaling>
          <c:orientation val="minMax"/>
          <c:max val="4.5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Em percentual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2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1675"/>
          <c:w val="0.945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'HISTORICO DE RESULTADOS'!$A$30:$A$53</c:f>
              <c:strCache>
                <c:ptCount val="24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</c:strCache>
            </c:strRef>
          </c:cat>
          <c:val>
            <c:numRef>
              <c:f>'HISTORICO DE RESULTADOS'!$C$30:$C$53</c:f>
              <c:numCache>
                <c:ptCount val="24"/>
                <c:pt idx="0">
                  <c:v>8.9</c:v>
                </c:pt>
                <c:pt idx="1">
                  <c:v>8.9</c:v>
                </c:pt>
                <c:pt idx="2">
                  <c:v>8.9</c:v>
                </c:pt>
                <c:pt idx="3">
                  <c:v>8.7</c:v>
                </c:pt>
                <c:pt idx="4">
                  <c:v>8.9</c:v>
                </c:pt>
                <c:pt idx="5">
                  <c:v>8.9</c:v>
                </c:pt>
                <c:pt idx="6">
                  <c:v>8.9</c:v>
                </c:pt>
                <c:pt idx="7">
                  <c:v>8.9</c:v>
                </c:pt>
                <c:pt idx="8">
                  <c:v>8.9</c:v>
                </c:pt>
                <c:pt idx="9">
                  <c:v>8.9</c:v>
                </c:pt>
                <c:pt idx="10">
                  <c:v>8.9</c:v>
                </c:pt>
                <c:pt idx="11">
                  <c:v>8.9</c:v>
                </c:pt>
                <c:pt idx="12">
                  <c:v>8.9</c:v>
                </c:pt>
                <c:pt idx="13">
                  <c:v>8.9</c:v>
                </c:pt>
              </c:numCache>
            </c:numRef>
          </c:val>
        </c:ser>
        <c:axId val="12397391"/>
        <c:axId val="44467656"/>
      </c:barChart>
      <c:dateAx>
        <c:axId val="1239739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67656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4467656"/>
        <c:scaling>
          <c:orientation val="minMax"/>
          <c:max val="10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Em percentual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97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1675"/>
          <c:w val="0.945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(* #,##0_);_(* \(#,##0\);_(* &quot;-&quot;??_);_(@_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'HISTORICO DE RESULTADOS'!$A$30:$A$53</c:f>
              <c:strCache>
                <c:ptCount val="24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</c:strCache>
            </c:strRef>
          </c:cat>
          <c:val>
            <c:numRef>
              <c:f>'HISTORICO DE RESULTADOS'!$D$30:$D$53</c:f>
              <c:numCache>
                <c:ptCount val="24"/>
                <c:pt idx="0">
                  <c:v>880</c:v>
                </c:pt>
                <c:pt idx="1">
                  <c:v>870</c:v>
                </c:pt>
                <c:pt idx="2">
                  <c:v>850</c:v>
                </c:pt>
                <c:pt idx="3">
                  <c:v>700</c:v>
                </c:pt>
                <c:pt idx="4">
                  <c:v>500</c:v>
                </c:pt>
                <c:pt idx="5">
                  <c:v>480</c:v>
                </c:pt>
                <c:pt idx="6">
                  <c:v>480</c:v>
                </c:pt>
                <c:pt idx="7">
                  <c:v>480</c:v>
                </c:pt>
                <c:pt idx="8">
                  <c:v>400</c:v>
                </c:pt>
                <c:pt idx="9">
                  <c:v>420</c:v>
                </c:pt>
                <c:pt idx="10">
                  <c:v>400</c:v>
                </c:pt>
                <c:pt idx="11">
                  <c:v>400</c:v>
                </c:pt>
                <c:pt idx="12">
                  <c:v>480</c:v>
                </c:pt>
                <c:pt idx="13">
                  <c:v>480</c:v>
                </c:pt>
              </c:numCache>
            </c:numRef>
          </c:val>
        </c:ser>
        <c:axId val="64664585"/>
        <c:axId val="45110354"/>
      </c:barChart>
      <c:dateAx>
        <c:axId val="6466458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10354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5110354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Em mil unidades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64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1675"/>
          <c:w val="0.945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(* #,##0_);_(* \(#,##0\);_(* &quot;-&quot;??_);_(@_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'HISTORICO DE RESULTADOS'!$A$30:$A$53</c:f>
              <c:strCache>
                <c:ptCount val="24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</c:strCache>
            </c:strRef>
          </c:cat>
          <c:val>
            <c:numRef>
              <c:f>'HISTORICO DE RESULTADOS'!$E$30:$E$53</c:f>
              <c:numCache>
                <c:ptCount val="24"/>
                <c:pt idx="0">
                  <c:v>860</c:v>
                </c:pt>
                <c:pt idx="1">
                  <c:v>840</c:v>
                </c:pt>
                <c:pt idx="2">
                  <c:v>820</c:v>
                </c:pt>
                <c:pt idx="3">
                  <c:v>750</c:v>
                </c:pt>
                <c:pt idx="4">
                  <c:v>400</c:v>
                </c:pt>
                <c:pt idx="5">
                  <c:v>400</c:v>
                </c:pt>
                <c:pt idx="6">
                  <c:v>400</c:v>
                </c:pt>
                <c:pt idx="7">
                  <c:v>400</c:v>
                </c:pt>
                <c:pt idx="8">
                  <c:v>300</c:v>
                </c:pt>
                <c:pt idx="9">
                  <c:v>320</c:v>
                </c:pt>
                <c:pt idx="10">
                  <c:v>380</c:v>
                </c:pt>
                <c:pt idx="11">
                  <c:v>400</c:v>
                </c:pt>
                <c:pt idx="12">
                  <c:v>300</c:v>
                </c:pt>
                <c:pt idx="13">
                  <c:v>300</c:v>
                </c:pt>
              </c:numCache>
            </c:numRef>
          </c:val>
        </c:ser>
        <c:axId val="3340003"/>
        <c:axId val="30060028"/>
      </c:barChart>
      <c:dateAx>
        <c:axId val="334000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002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0060028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Em mil colônias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0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1675"/>
          <c:w val="0.945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(* #,##0_);_(* \(#,##0\);_(* &quot;-&quot;??_);_(@_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'HISTORICO DE RESULTADOS'!$A$30:$A$53</c:f>
              <c:strCache>
                <c:ptCount val="24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</c:strCache>
            </c:strRef>
          </c:cat>
          <c:val>
            <c:numRef>
              <c:f>'HISTORICO DE RESULTADOS'!$F$30:$F$53</c:f>
              <c:numCache>
                <c:ptCount val="2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</c:numCache>
            </c:numRef>
          </c:val>
        </c:ser>
        <c:axId val="2104797"/>
        <c:axId val="18943174"/>
      </c:barChart>
      <c:dateAx>
        <c:axId val="210479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43174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8943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Em litros por dia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47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87401575" right="0.787401575" top="0.984251969" bottom="0.984251969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87401575" right="0.787401575" top="0.984251969" bottom="0.984251969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87401575" right="0.787401575" top="0.984251969" bottom="0.984251969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87401575" right="0.787401575" top="0.984251969" bottom="0.984251969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87401575" right="0.787401575" top="0.984251969" bottom="0.984251969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87401575" right="0.787401575" top="0.984251969" bottom="0.984251969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87401575" right="0.787401575" top="0.984251969" bottom="0.984251969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010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010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010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010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010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010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010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="120" zoomScaleNormal="120" zoomScalePageLayoutView="0" workbookViewId="0" topLeftCell="A1">
      <selection activeCell="A20" sqref="A20"/>
    </sheetView>
  </sheetViews>
  <sheetFormatPr defaultColWidth="9.140625" defaultRowHeight="12.75"/>
  <cols>
    <col min="1" max="1" width="109.8515625" style="8" customWidth="1"/>
    <col min="2" max="2" width="9.140625" style="8" customWidth="1"/>
    <col min="3" max="3" width="13.28125" style="8" bestFit="1" customWidth="1"/>
    <col min="4" max="5" width="9.140625" style="8" customWidth="1"/>
    <col min="6" max="6" width="17.28125" style="8" bestFit="1" customWidth="1"/>
    <col min="7" max="7" width="10.7109375" style="8" customWidth="1"/>
    <col min="8" max="8" width="12.140625" style="8" bestFit="1" customWidth="1"/>
    <col min="9" max="16384" width="9.140625" style="8" customWidth="1"/>
  </cols>
  <sheetData>
    <row r="1" ht="13.5" thickBot="1">
      <c r="A1" s="14" t="s">
        <v>114</v>
      </c>
    </row>
    <row r="2" ht="13.5" thickBot="1">
      <c r="A2" s="15"/>
    </row>
    <row r="3" spans="1:2" ht="17.25" customHeight="1">
      <c r="A3" s="16" t="s">
        <v>115</v>
      </c>
      <c r="B3" s="5"/>
    </row>
    <row r="4" spans="1:2" ht="16.5" customHeight="1">
      <c r="A4" s="17" t="s">
        <v>116</v>
      </c>
      <c r="B4" s="5"/>
    </row>
    <row r="5" ht="12.75">
      <c r="A5" s="17" t="s">
        <v>117</v>
      </c>
    </row>
    <row r="6" ht="13.5" thickBot="1">
      <c r="A6" s="18" t="s">
        <v>16</v>
      </c>
    </row>
    <row r="7" ht="13.5" thickBot="1">
      <c r="A7" s="15"/>
    </row>
    <row r="8" spans="1:10" ht="12.75">
      <c r="A8" s="19" t="s">
        <v>15</v>
      </c>
      <c r="B8" s="9"/>
      <c r="C8" s="9"/>
      <c r="D8" s="9"/>
      <c r="E8" s="9"/>
      <c r="F8" s="9"/>
      <c r="G8" s="9"/>
      <c r="H8" s="9"/>
      <c r="I8" s="9"/>
      <c r="J8" s="9"/>
    </row>
    <row r="9" spans="1:9" ht="12.75">
      <c r="A9" s="20" t="s">
        <v>17</v>
      </c>
      <c r="B9" s="6"/>
      <c r="C9" s="6"/>
      <c r="D9" s="6"/>
      <c r="E9" s="6"/>
      <c r="F9" s="6"/>
      <c r="G9" s="6"/>
      <c r="H9" s="6"/>
      <c r="I9" s="6"/>
    </row>
    <row r="10" ht="12.75">
      <c r="A10" s="20" t="s">
        <v>18</v>
      </c>
    </row>
    <row r="11" spans="1:9" ht="12.75">
      <c r="A11" s="20" t="s">
        <v>19</v>
      </c>
      <c r="B11" s="5"/>
      <c r="C11" s="9"/>
      <c r="D11" s="9"/>
      <c r="E11" s="9"/>
      <c r="F11" s="9"/>
      <c r="G11" s="9"/>
      <c r="H11" s="9"/>
      <c r="I11" s="9"/>
    </row>
    <row r="12" spans="1:9" ht="12.75">
      <c r="A12" s="20" t="s">
        <v>20</v>
      </c>
      <c r="C12" s="10"/>
      <c r="D12" s="10"/>
      <c r="E12" s="10"/>
      <c r="F12" s="10"/>
      <c r="G12" s="10"/>
      <c r="H12" s="10"/>
      <c r="I12" s="10"/>
    </row>
    <row r="13" spans="1:9" ht="12.75">
      <c r="A13" s="20" t="s">
        <v>21</v>
      </c>
      <c r="C13" s="10"/>
      <c r="D13" s="10"/>
      <c r="E13" s="10"/>
      <c r="F13" s="10"/>
      <c r="G13" s="10"/>
      <c r="H13" s="10"/>
      <c r="I13" s="10"/>
    </row>
    <row r="14" spans="1:9" ht="12.75">
      <c r="A14" s="20" t="s">
        <v>22</v>
      </c>
      <c r="C14" s="10"/>
      <c r="D14" s="10"/>
      <c r="E14" s="10"/>
      <c r="F14" s="10"/>
      <c r="G14" s="10"/>
      <c r="H14" s="10"/>
      <c r="I14" s="10"/>
    </row>
    <row r="15" spans="1:9" ht="38.25">
      <c r="A15" s="23" t="s">
        <v>23</v>
      </c>
      <c r="C15" s="10"/>
      <c r="D15" s="10"/>
      <c r="E15" s="10"/>
      <c r="F15" s="10"/>
      <c r="G15" s="10"/>
      <c r="H15" s="10"/>
      <c r="I15" s="10"/>
    </row>
    <row r="16" spans="1:9" ht="13.5" thickBot="1">
      <c r="A16" s="21" t="s">
        <v>118</v>
      </c>
      <c r="B16" s="5"/>
      <c r="C16" s="6"/>
      <c r="D16" s="6"/>
      <c r="E16" s="6"/>
      <c r="F16" s="6"/>
      <c r="G16" s="6"/>
      <c r="H16" s="6"/>
      <c r="I16" s="6"/>
    </row>
    <row r="17" spans="1:9" ht="13.5" thickBot="1">
      <c r="A17" s="15"/>
      <c r="B17" s="5"/>
      <c r="C17" s="11"/>
      <c r="D17" s="11"/>
      <c r="E17" s="11"/>
      <c r="F17" s="11"/>
      <c r="G17" s="11"/>
      <c r="H17" s="11"/>
      <c r="I17" s="11"/>
    </row>
    <row r="18" spans="1:9" ht="12.75">
      <c r="A18" s="22" t="s">
        <v>24</v>
      </c>
      <c r="B18" s="5"/>
      <c r="C18" s="11"/>
      <c r="D18" s="11"/>
      <c r="E18" s="11"/>
      <c r="F18" s="11"/>
      <c r="G18" s="11"/>
      <c r="H18" s="11"/>
      <c r="I18" s="11"/>
    </row>
    <row r="19" spans="1:9" ht="12.75">
      <c r="A19" s="15"/>
      <c r="B19" s="5"/>
      <c r="C19" s="11"/>
      <c r="D19" s="11"/>
      <c r="E19" s="11"/>
      <c r="F19" s="11"/>
      <c r="G19" s="11"/>
      <c r="H19" s="11"/>
      <c r="I19" s="11"/>
    </row>
    <row r="20" spans="1:9" ht="12.75">
      <c r="A20" s="45" t="s">
        <v>100</v>
      </c>
      <c r="B20" s="5"/>
      <c r="C20" s="11"/>
      <c r="D20" s="11"/>
      <c r="E20" s="11"/>
      <c r="F20" s="11"/>
      <c r="G20" s="11"/>
      <c r="H20" s="11"/>
      <c r="I20" s="11"/>
    </row>
    <row r="21" ht="12.75">
      <c r="A21" s="15"/>
    </row>
    <row r="22" ht="12.75">
      <c r="I22" s="7"/>
    </row>
    <row r="23" spans="2:9" ht="12.75">
      <c r="B23" s="5"/>
      <c r="C23" s="7"/>
      <c r="D23" s="7"/>
      <c r="E23" s="7"/>
      <c r="F23" s="12"/>
      <c r="G23" s="7"/>
      <c r="H23" s="7"/>
      <c r="I23" s="7"/>
    </row>
    <row r="24" spans="2:9" ht="12.75">
      <c r="B24" s="5"/>
      <c r="C24" s="7"/>
      <c r="D24" s="7"/>
      <c r="E24" s="7"/>
      <c r="F24" s="12"/>
      <c r="G24" s="7"/>
      <c r="H24" s="7"/>
      <c r="I24" s="7"/>
    </row>
    <row r="25" spans="3:9" ht="12.75">
      <c r="C25" s="7"/>
      <c r="D25" s="7"/>
      <c r="E25" s="7"/>
      <c r="F25" s="7"/>
      <c r="G25" s="7"/>
      <c r="H25" s="7"/>
      <c r="I25" s="7"/>
    </row>
    <row r="26" spans="3:9" ht="12.75">
      <c r="C26" s="7"/>
      <c r="D26" s="7"/>
      <c r="E26" s="7"/>
      <c r="F26" s="13"/>
      <c r="G26" s="7"/>
      <c r="H26" s="7"/>
      <c r="I26" s="7"/>
    </row>
    <row r="27" ht="12.75">
      <c r="F27" s="13"/>
    </row>
  </sheetData>
  <sheetProtection password="9B55" sheet="1"/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="120" zoomScaleNormal="120" zoomScalePageLayoutView="0" workbookViewId="0" topLeftCell="A1">
      <selection activeCell="A5" sqref="A5"/>
    </sheetView>
  </sheetViews>
  <sheetFormatPr defaultColWidth="9.140625" defaultRowHeight="12.75"/>
  <cols>
    <col min="1" max="1" width="109.8515625" style="8" customWidth="1"/>
    <col min="2" max="2" width="9.140625" style="8" customWidth="1"/>
    <col min="3" max="3" width="13.28125" style="8" bestFit="1" customWidth="1"/>
    <col min="4" max="5" width="9.140625" style="8" customWidth="1"/>
    <col min="6" max="6" width="17.28125" style="8" bestFit="1" customWidth="1"/>
    <col min="7" max="7" width="10.7109375" style="8" customWidth="1"/>
    <col min="8" max="8" width="12.140625" style="8" bestFit="1" customWidth="1"/>
    <col min="9" max="16384" width="9.140625" style="8" customWidth="1"/>
  </cols>
  <sheetData>
    <row r="1" ht="13.5" thickBot="1">
      <c r="A1" s="14" t="s">
        <v>76</v>
      </c>
    </row>
    <row r="2" ht="13.5" thickBot="1">
      <c r="A2" s="15"/>
    </row>
    <row r="3" spans="1:2" ht="13.5" thickBot="1">
      <c r="A3" s="16" t="s">
        <v>77</v>
      </c>
      <c r="B3" s="5"/>
    </row>
    <row r="4" spans="1:2" ht="39" thickBot="1">
      <c r="A4" s="16" t="s">
        <v>119</v>
      </c>
      <c r="B4" s="5"/>
    </row>
    <row r="5" ht="13.5" thickBot="1">
      <c r="A5" s="46" t="s">
        <v>24</v>
      </c>
    </row>
    <row r="6" ht="12.75">
      <c r="A6" s="20"/>
    </row>
    <row r="7" ht="13.5" thickBot="1">
      <c r="A7" s="20" t="s">
        <v>85</v>
      </c>
    </row>
    <row r="8" spans="1:10" ht="25.5">
      <c r="A8" s="19" t="s">
        <v>120</v>
      </c>
      <c r="B8" s="9"/>
      <c r="C8" s="9"/>
      <c r="D8" s="9"/>
      <c r="E8" s="9"/>
      <c r="F8" s="9"/>
      <c r="G8" s="9"/>
      <c r="H8" s="9"/>
      <c r="I8" s="9"/>
      <c r="J8" s="9"/>
    </row>
    <row r="9" spans="1:9" ht="38.25">
      <c r="A9" s="23" t="s">
        <v>23</v>
      </c>
      <c r="B9" s="6"/>
      <c r="C9" s="6"/>
      <c r="D9" s="6"/>
      <c r="E9" s="6"/>
      <c r="F9" s="6"/>
      <c r="G9" s="6"/>
      <c r="H9" s="6"/>
      <c r="I9" s="6"/>
    </row>
    <row r="10" ht="13.5" thickBot="1">
      <c r="A10" s="21" t="s">
        <v>78</v>
      </c>
    </row>
    <row r="11" ht="12.75">
      <c r="A11" s="47"/>
    </row>
    <row r="12" ht="13.5" thickBot="1">
      <c r="A12" s="20" t="s">
        <v>84</v>
      </c>
    </row>
    <row r="13" ht="38.25">
      <c r="A13" s="19" t="s">
        <v>79</v>
      </c>
    </row>
    <row r="14" ht="12.75">
      <c r="A14" s="20" t="s">
        <v>80</v>
      </c>
    </row>
    <row r="15" ht="26.25" thickBot="1">
      <c r="A15" s="21" t="s">
        <v>121</v>
      </c>
    </row>
    <row r="16" ht="12.75">
      <c r="A16" s="47"/>
    </row>
    <row r="17" ht="12.75">
      <c r="A17" s="47"/>
    </row>
    <row r="18" spans="1:9" ht="12.75">
      <c r="A18" s="15"/>
      <c r="B18" s="5"/>
      <c r="C18" s="11"/>
      <c r="D18" s="11"/>
      <c r="E18" s="11"/>
      <c r="F18" s="11"/>
      <c r="G18" s="11"/>
      <c r="H18" s="11"/>
      <c r="I18" s="11"/>
    </row>
    <row r="19" spans="1:9" ht="12.75">
      <c r="A19" s="45" t="s">
        <v>100</v>
      </c>
      <c r="B19" s="5"/>
      <c r="C19" s="11"/>
      <c r="D19" s="11"/>
      <c r="E19" s="11"/>
      <c r="F19" s="11"/>
      <c r="G19" s="11"/>
      <c r="H19" s="11"/>
      <c r="I19" s="11"/>
    </row>
    <row r="20" spans="1:9" ht="12.75">
      <c r="A20" s="15"/>
      <c r="B20" s="5"/>
      <c r="C20" s="11"/>
      <c r="D20" s="11"/>
      <c r="E20" s="11"/>
      <c r="F20" s="11"/>
      <c r="G20" s="11"/>
      <c r="H20" s="11"/>
      <c r="I20" s="11"/>
    </row>
    <row r="21" spans="2:9" ht="12.75">
      <c r="B21" s="5"/>
      <c r="C21" s="7"/>
      <c r="D21" s="7"/>
      <c r="E21" s="7"/>
      <c r="F21" s="12"/>
      <c r="G21" s="7"/>
      <c r="H21" s="7"/>
      <c r="I21" s="7"/>
    </row>
    <row r="22" spans="3:9" ht="12.75">
      <c r="C22" s="7"/>
      <c r="D22" s="7"/>
      <c r="E22" s="7"/>
      <c r="F22" s="7"/>
      <c r="G22" s="7"/>
      <c r="H22" s="7"/>
      <c r="I22" s="7"/>
    </row>
    <row r="23" spans="3:9" ht="12.75">
      <c r="C23" s="7"/>
      <c r="D23" s="7"/>
      <c r="E23" s="7"/>
      <c r="F23" s="13"/>
      <c r="G23" s="7"/>
      <c r="H23" s="7"/>
      <c r="I23" s="7"/>
    </row>
    <row r="24" ht="12.75">
      <c r="F24" s="13"/>
    </row>
  </sheetData>
  <sheetProtection password="9B55" sheet="1"/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110" zoomScaleNormal="110" zoomScalePageLayoutView="0" workbookViewId="0" topLeftCell="A1">
      <selection activeCell="I7" sqref="I7"/>
    </sheetView>
  </sheetViews>
  <sheetFormatPr defaultColWidth="9.140625" defaultRowHeight="12.75"/>
  <cols>
    <col min="1" max="1" width="27.140625" style="0" customWidth="1"/>
    <col min="2" max="2" width="15.00390625" style="0" customWidth="1"/>
    <col min="3" max="3" width="9.57421875" style="0" customWidth="1"/>
    <col min="4" max="4" width="12.00390625" style="0" customWidth="1"/>
    <col min="5" max="5" width="12.8515625" style="0" customWidth="1"/>
    <col min="6" max="7" width="10.7109375" style="0" customWidth="1"/>
  </cols>
  <sheetData>
    <row r="1" spans="1:8" ht="12.75">
      <c r="A1" s="50" t="s">
        <v>81</v>
      </c>
      <c r="B1" s="51"/>
      <c r="C1" s="51"/>
      <c r="D1" s="51"/>
      <c r="E1" s="51"/>
      <c r="F1" s="25"/>
      <c r="G1" s="25"/>
      <c r="H1" s="25"/>
    </row>
    <row r="2" spans="1:8" ht="9" customHeight="1">
      <c r="A2" s="24"/>
      <c r="B2" s="25"/>
      <c r="C2" s="25"/>
      <c r="D2" s="25"/>
      <c r="E2" s="25"/>
      <c r="F2" s="25"/>
      <c r="G2" s="25"/>
      <c r="H2" s="25"/>
    </row>
    <row r="3" spans="1:8" ht="12.75">
      <c r="A3" s="1" t="s">
        <v>9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11</v>
      </c>
      <c r="G3" s="1" t="s">
        <v>4</v>
      </c>
      <c r="H3" s="26"/>
    </row>
    <row r="4" spans="1:8" ht="63.75">
      <c r="A4" s="42" t="s">
        <v>82</v>
      </c>
      <c r="B4" s="42" t="s">
        <v>25</v>
      </c>
      <c r="C4" s="42" t="s">
        <v>65</v>
      </c>
      <c r="D4" s="42" t="s">
        <v>66</v>
      </c>
      <c r="E4" s="42" t="s">
        <v>68</v>
      </c>
      <c r="F4" s="42" t="s">
        <v>67</v>
      </c>
      <c r="G4" s="42" t="s">
        <v>69</v>
      </c>
      <c r="H4" s="26"/>
    </row>
    <row r="5" spans="1:8" ht="12.75">
      <c r="A5" s="54">
        <f>B5/10000</f>
        <v>0.09296774193548077</v>
      </c>
      <c r="B5" s="55">
        <f>SUM(C5:G5)</f>
        <v>929.6774193548076</v>
      </c>
      <c r="C5" s="53">
        <f>SUM(C13:C19)</f>
        <v>9.67741935480808</v>
      </c>
      <c r="D5" s="53">
        <f>SUM(D13:D19)</f>
        <v>40</v>
      </c>
      <c r="E5" s="53">
        <f>SUM(E13:E19)</f>
        <v>59.9999999999996</v>
      </c>
      <c r="F5" s="53">
        <f>SUM(F13:F19)</f>
        <v>400</v>
      </c>
      <c r="G5" s="53">
        <f>SUM(G13:G19)</f>
        <v>420</v>
      </c>
      <c r="H5" s="25"/>
    </row>
    <row r="6" spans="1:8" ht="9.75" customHeight="1" thickBot="1">
      <c r="A6" s="25"/>
      <c r="B6" s="25"/>
      <c r="C6" s="25"/>
      <c r="D6" s="25"/>
      <c r="E6" s="25"/>
      <c r="F6" s="25"/>
      <c r="G6" s="25"/>
      <c r="H6" s="25"/>
    </row>
    <row r="7" spans="1:8" ht="12.75">
      <c r="A7" s="107" t="s">
        <v>89</v>
      </c>
      <c r="B7" s="108"/>
      <c r="C7" s="102" t="s">
        <v>83</v>
      </c>
      <c r="D7" s="103"/>
      <c r="E7" s="103"/>
      <c r="F7" s="103"/>
      <c r="G7" s="104"/>
      <c r="H7" s="25"/>
    </row>
    <row r="8" spans="1:8" ht="25.5">
      <c r="A8" s="109"/>
      <c r="B8" s="110"/>
      <c r="C8" s="2" t="s">
        <v>27</v>
      </c>
      <c r="D8" s="2" t="s">
        <v>10</v>
      </c>
      <c r="E8" s="2" t="s">
        <v>26</v>
      </c>
      <c r="F8" s="2" t="s">
        <v>12</v>
      </c>
      <c r="G8" s="63" t="s">
        <v>75</v>
      </c>
      <c r="H8" s="25"/>
    </row>
    <row r="9" spans="1:8" ht="12.75">
      <c r="A9" s="109"/>
      <c r="B9" s="110"/>
      <c r="C9" s="3" t="s">
        <v>1</v>
      </c>
      <c r="D9" s="3" t="s">
        <v>2</v>
      </c>
      <c r="E9" s="3" t="s">
        <v>3</v>
      </c>
      <c r="F9" s="3" t="s">
        <v>11</v>
      </c>
      <c r="G9" s="64" t="s">
        <v>4</v>
      </c>
      <c r="H9" s="25"/>
    </row>
    <row r="10" spans="1:8" ht="13.5" thickBot="1">
      <c r="A10" s="111"/>
      <c r="B10" s="112"/>
      <c r="C10" s="65" t="s">
        <v>5</v>
      </c>
      <c r="D10" s="65" t="s">
        <v>6</v>
      </c>
      <c r="E10" s="65" t="s">
        <v>7</v>
      </c>
      <c r="F10" s="65" t="s">
        <v>28</v>
      </c>
      <c r="G10" s="66" t="s">
        <v>8</v>
      </c>
      <c r="H10" s="25"/>
    </row>
    <row r="11" spans="1:8" ht="25.5">
      <c r="A11" s="113" t="s">
        <v>94</v>
      </c>
      <c r="B11" s="114"/>
      <c r="C11" s="68" t="s">
        <v>90</v>
      </c>
      <c r="D11" s="67" t="s">
        <v>90</v>
      </c>
      <c r="E11" s="67" t="s">
        <v>91</v>
      </c>
      <c r="F11" s="67" t="s">
        <v>92</v>
      </c>
      <c r="G11" s="69" t="s">
        <v>93</v>
      </c>
      <c r="H11" s="25"/>
    </row>
    <row r="12" spans="1:8" ht="24" customHeight="1" thickBot="1">
      <c r="A12" s="115"/>
      <c r="B12" s="116"/>
      <c r="C12" s="70">
        <v>3.6</v>
      </c>
      <c r="D12" s="71">
        <v>8.84</v>
      </c>
      <c r="E12" s="71">
        <v>260</v>
      </c>
      <c r="F12" s="71">
        <v>100</v>
      </c>
      <c r="G12" s="72">
        <v>120</v>
      </c>
      <c r="H12" s="25"/>
    </row>
    <row r="13" spans="1:8" ht="12.75" hidden="1">
      <c r="A13" s="25" t="s">
        <v>95</v>
      </c>
      <c r="B13" s="25"/>
      <c r="C13" s="56" t="b">
        <f>IF(C$12&gt;3.9,300)</f>
        <v>0</v>
      </c>
      <c r="D13" s="56" t="b">
        <f>IF(D$12&gt;=9,200)</f>
        <v>0</v>
      </c>
      <c r="E13" s="56" t="b">
        <f>IF(E$12&lt;=200,100)</f>
        <v>0</v>
      </c>
      <c r="F13" s="56">
        <f>IF(F$12&lt;150,400)</f>
        <v>400</v>
      </c>
      <c r="G13" s="56" t="b">
        <f>IF(G$12&gt;200,500)</f>
        <v>0</v>
      </c>
      <c r="H13" s="25"/>
    </row>
    <row r="14" spans="1:8" ht="12.75" hidden="1">
      <c r="A14" s="25" t="s">
        <v>174</v>
      </c>
      <c r="B14" s="25"/>
      <c r="C14" s="56"/>
      <c r="D14" s="56"/>
      <c r="E14" s="56"/>
      <c r="F14" s="56"/>
      <c r="G14" s="4">
        <f>IF(AND(100&lt;G$12,G$12&lt;=200),300+(1*G$12))</f>
        <v>420</v>
      </c>
      <c r="H14" s="25"/>
    </row>
    <row r="15" spans="1:8" ht="12.75" hidden="1">
      <c r="A15" s="25" t="s">
        <v>173</v>
      </c>
      <c r="B15" s="25"/>
      <c r="C15" s="4">
        <f>IF(AND(3.59&lt;C$12,C$12&lt;3.9),-3474.19354838788+(967.74193548408*C$12))</f>
        <v>9.67741935480808</v>
      </c>
      <c r="D15" s="4">
        <f>IF(AND(8.79&lt;D$12,D$12&lt;9),-8800+(1000*D$12))</f>
        <v>40</v>
      </c>
      <c r="E15" s="4">
        <f>IF(AND(200&lt;E$12,E$12&lt;350),233.333333333333+(-0.666666666666667*E$12))</f>
        <v>59.9999999999996</v>
      </c>
      <c r="F15" s="4" t="b">
        <f>IF(AND(150&lt;=F$12,F$12&lt;300),800+(-2.66666666666667*F$12))</f>
        <v>0</v>
      </c>
      <c r="G15" s="4" t="b">
        <f>IF(AND(25&lt;G$12,G$12&lt;=100),-100+(4*G$12))</f>
        <v>0</v>
      </c>
      <c r="H15" s="25"/>
    </row>
    <row r="16" spans="1:8" ht="12.75" hidden="1">
      <c r="A16" s="25" t="s">
        <v>96</v>
      </c>
      <c r="B16" s="25"/>
      <c r="C16" s="4" t="b">
        <f>IF(AND(3.5&lt;C$12,C$12&lt;3.59),0)</f>
        <v>0</v>
      </c>
      <c r="D16" s="4" t="b">
        <f>IF(AND(8.7&lt;D$12,D$12&lt;=8.79),0)</f>
        <v>0</v>
      </c>
      <c r="E16" s="4" t="b">
        <f>IF(AND(350&lt;=E$12,E$12&lt;=400),0)</f>
        <v>0</v>
      </c>
      <c r="F16" s="4" t="b">
        <f>IF(AND(300&lt;=F$12,F$12&lt;350),0)</f>
        <v>0</v>
      </c>
      <c r="G16" s="4" t="b">
        <f>IF(G$12&lt;=25,0)</f>
        <v>0</v>
      </c>
      <c r="H16" s="25"/>
    </row>
    <row r="17" spans="1:8" ht="12.75" hidden="1">
      <c r="A17" s="25" t="s">
        <v>97</v>
      </c>
      <c r="B17" s="25"/>
      <c r="C17" s="4" t="b">
        <f>IF(AND(3&lt;C$12,C$12&lt;3.5),-2100.72028811549+(600.240096038491*C$12))</f>
        <v>0</v>
      </c>
      <c r="D17" s="4" t="b">
        <f>IF(AND(8.4&lt;=D$12,D$12&lt;8.7),-4507.69230769273+(512.820512820562*D$12))</f>
        <v>0</v>
      </c>
      <c r="E17" s="4" t="b">
        <f>IF(AND(400&lt;E$12,E$12&lt;680),72.8486646884273+(-0.166913946587537*E$12))</f>
        <v>0</v>
      </c>
      <c r="F17" s="4" t="b">
        <f>IF(AND(350&lt;=F$12,F$12&lt;=750),350+(-1*F$12))</f>
        <v>0</v>
      </c>
      <c r="G17" s="4"/>
      <c r="H17" s="25"/>
    </row>
    <row r="18" spans="1:8" ht="12.75" hidden="1">
      <c r="A18" s="25" t="s">
        <v>98</v>
      </c>
      <c r="B18" s="25"/>
      <c r="C18" s="4" t="b">
        <f>IF(C$12&lt;=3,-300)</f>
        <v>0</v>
      </c>
      <c r="D18" s="4" t="b">
        <f>IF(D$12&lt;8.4,-200)</f>
        <v>0</v>
      </c>
      <c r="E18" s="4" t="b">
        <f>IF(E$12&gt;680,-100)</f>
        <v>0</v>
      </c>
      <c r="F18" s="4" t="b">
        <f>IF(F$12&gt;=750,-400)</f>
        <v>0</v>
      </c>
      <c r="G18" s="4"/>
      <c r="H18" s="25"/>
    </row>
    <row r="19" spans="1:8" ht="13.5" hidden="1" thickBot="1">
      <c r="A19" s="25" t="s">
        <v>99</v>
      </c>
      <c r="B19" s="25"/>
      <c r="C19" s="48" t="b">
        <f>IF(0=C$12,0)</f>
        <v>0</v>
      </c>
      <c r="D19" s="48" t="b">
        <f>IF(0=D$12,0)</f>
        <v>0</v>
      </c>
      <c r="E19" s="48" t="b">
        <f>IF(0=E$12,0)</f>
        <v>0</v>
      </c>
      <c r="F19" s="48" t="b">
        <f>IF(0=F$12,0)</f>
        <v>0</v>
      </c>
      <c r="G19" s="48" t="b">
        <f>IF(0=G$12,0)</f>
        <v>0</v>
      </c>
      <c r="H19" s="25"/>
    </row>
    <row r="20" spans="1:8" ht="27" thickBot="1" thickTop="1">
      <c r="A20" s="105" t="s">
        <v>86</v>
      </c>
      <c r="B20" s="106"/>
      <c r="C20" s="57" t="s">
        <v>101</v>
      </c>
      <c r="D20" s="49" t="s">
        <v>104</v>
      </c>
      <c r="E20" s="49" t="s">
        <v>53</v>
      </c>
      <c r="F20" s="49" t="s">
        <v>109</v>
      </c>
      <c r="G20" s="49" t="s">
        <v>112</v>
      </c>
      <c r="H20" s="25"/>
    </row>
    <row r="21" spans="1:8" ht="25.5" customHeight="1" thickBot="1" thickTop="1">
      <c r="A21" s="105" t="s">
        <v>87</v>
      </c>
      <c r="B21" s="106"/>
      <c r="C21" s="62" t="s">
        <v>102</v>
      </c>
      <c r="D21" s="62" t="s">
        <v>105</v>
      </c>
      <c r="E21" s="62" t="s">
        <v>107</v>
      </c>
      <c r="F21" s="62" t="s">
        <v>110</v>
      </c>
      <c r="G21" s="62" t="s">
        <v>113</v>
      </c>
      <c r="H21" s="25"/>
    </row>
    <row r="22" spans="1:8" ht="23.25" customHeight="1" thickBot="1" thickTop="1">
      <c r="A22" s="105" t="s">
        <v>88</v>
      </c>
      <c r="B22" s="106"/>
      <c r="C22" s="62" t="s">
        <v>103</v>
      </c>
      <c r="D22" s="62" t="s">
        <v>106</v>
      </c>
      <c r="E22" s="62" t="s">
        <v>108</v>
      </c>
      <c r="F22" s="62" t="s">
        <v>111</v>
      </c>
      <c r="G22" s="62"/>
      <c r="H22" s="25"/>
    </row>
    <row r="23" spans="1:8" ht="13.5" thickBot="1">
      <c r="A23" s="25"/>
      <c r="B23" s="25"/>
      <c r="C23" s="25"/>
      <c r="D23" s="25"/>
      <c r="E23" s="25"/>
      <c r="F23" s="25"/>
      <c r="G23" s="25"/>
      <c r="H23" s="25"/>
    </row>
    <row r="24" spans="1:8" ht="13.5" thickBot="1">
      <c r="A24" s="25"/>
      <c r="B24" s="77" t="s">
        <v>13</v>
      </c>
      <c r="C24" s="58"/>
      <c r="D24" s="59"/>
      <c r="E24" s="73">
        <v>0.7312</v>
      </c>
      <c r="F24" s="27"/>
      <c r="G24" s="27"/>
      <c r="H24" s="25"/>
    </row>
    <row r="25" spans="1:8" ht="13.5" thickBot="1">
      <c r="A25" s="25"/>
      <c r="B25" s="78" t="s">
        <v>14</v>
      </c>
      <c r="C25" s="60"/>
      <c r="D25" s="61"/>
      <c r="E25" s="52">
        <f>E24*(1+A5)</f>
        <v>0.7991780129032235</v>
      </c>
      <c r="F25" s="27"/>
      <c r="G25" s="27"/>
      <c r="H25" s="25"/>
    </row>
    <row r="26" spans="1:8" ht="9" customHeight="1">
      <c r="A26" s="25"/>
      <c r="B26" s="25"/>
      <c r="C26" s="27"/>
      <c r="D26" s="27"/>
      <c r="E26" s="27"/>
      <c r="F26" s="27"/>
      <c r="G26" s="27"/>
      <c r="H26" s="25"/>
    </row>
    <row r="27" spans="1:8" ht="12.75" customHeight="1">
      <c r="A27" s="101" t="s">
        <v>100</v>
      </c>
      <c r="B27" s="101"/>
      <c r="C27" s="101"/>
      <c r="D27" s="101"/>
      <c r="E27" s="27"/>
      <c r="F27" s="27"/>
      <c r="G27" s="27"/>
      <c r="H27" s="25"/>
    </row>
    <row r="28" spans="1:8" ht="12.75">
      <c r="A28" s="25"/>
      <c r="B28" s="25"/>
      <c r="C28" s="25"/>
      <c r="D28" s="25"/>
      <c r="E28" s="28"/>
      <c r="F28" s="25"/>
      <c r="G28" s="25"/>
      <c r="H28" s="25"/>
    </row>
    <row r="29" spans="1:8" ht="12.75">
      <c r="A29" s="25"/>
      <c r="B29" s="25"/>
      <c r="C29" s="25"/>
      <c r="D29" s="25"/>
      <c r="E29" s="28"/>
      <c r="F29" s="25"/>
      <c r="G29" s="25"/>
      <c r="H29" s="25"/>
    </row>
    <row r="30" spans="1:8" ht="12.75">
      <c r="A30" s="25"/>
      <c r="B30" s="25"/>
      <c r="C30" s="25"/>
      <c r="D30" s="25"/>
      <c r="E30" s="28"/>
      <c r="F30" s="25"/>
      <c r="G30" s="25"/>
      <c r="H30" s="25"/>
    </row>
    <row r="31" spans="1:8" ht="12.75">
      <c r="A31" s="25"/>
      <c r="B31" s="25"/>
      <c r="C31" s="25"/>
      <c r="D31" s="25"/>
      <c r="E31" s="28"/>
      <c r="F31" s="25"/>
      <c r="G31" s="25"/>
      <c r="H31" s="25"/>
    </row>
    <row r="32" spans="1:8" ht="12.75">
      <c r="A32" s="25"/>
      <c r="B32" s="25"/>
      <c r="C32" s="25"/>
      <c r="D32" s="25"/>
      <c r="E32" s="28"/>
      <c r="F32" s="25"/>
      <c r="G32" s="25"/>
      <c r="H32" s="25"/>
    </row>
    <row r="33" spans="1:8" ht="12.75">
      <c r="A33" s="25"/>
      <c r="B33" s="25"/>
      <c r="C33" s="25"/>
      <c r="D33" s="25"/>
      <c r="E33" s="28"/>
      <c r="F33" s="25"/>
      <c r="G33" s="25"/>
      <c r="H33" s="25"/>
    </row>
    <row r="34" spans="1:8" ht="12.75">
      <c r="A34" s="25"/>
      <c r="B34" s="25"/>
      <c r="C34" s="25"/>
      <c r="D34" s="25"/>
      <c r="E34" s="28"/>
      <c r="F34" s="25"/>
      <c r="G34" s="25"/>
      <c r="H34" s="25"/>
    </row>
  </sheetData>
  <sheetProtection password="9B55" sheet="1"/>
  <mergeCells count="7">
    <mergeCell ref="A27:D27"/>
    <mergeCell ref="C7:G7"/>
    <mergeCell ref="A20:B20"/>
    <mergeCell ref="A21:B21"/>
    <mergeCell ref="A22:B22"/>
    <mergeCell ref="A7:B10"/>
    <mergeCell ref="A11:B12"/>
  </mergeCells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zoomScale="115" zoomScaleNormal="115" zoomScalePageLayoutView="0" workbookViewId="0" topLeftCell="A25">
      <selection activeCell="C45" sqref="C45"/>
    </sheetView>
  </sheetViews>
  <sheetFormatPr defaultColWidth="9.140625" defaultRowHeight="12.75"/>
  <cols>
    <col min="1" max="1" width="12.28125" style="0" customWidth="1"/>
    <col min="2" max="2" width="13.28125" style="0" customWidth="1"/>
    <col min="3" max="3" width="13.140625" style="0" customWidth="1"/>
    <col min="4" max="5" width="12.7109375" style="0" customWidth="1"/>
    <col min="6" max="6" width="11.7109375" style="0" customWidth="1"/>
    <col min="7" max="7" width="12.8515625" style="0" customWidth="1"/>
  </cols>
  <sheetData>
    <row r="1" spans="1:9" ht="12.75">
      <c r="A1" s="41" t="s">
        <v>70</v>
      </c>
      <c r="B1" s="37"/>
      <c r="C1" s="37"/>
      <c r="D1" s="37"/>
      <c r="E1" s="37"/>
      <c r="F1" s="37"/>
      <c r="G1" s="37"/>
      <c r="H1" s="37"/>
      <c r="I1" s="37"/>
    </row>
    <row r="2" spans="1:9" ht="51">
      <c r="A2" s="43" t="s">
        <v>61</v>
      </c>
      <c r="B2" s="44" t="s">
        <v>63</v>
      </c>
      <c r="C2" s="44" t="s">
        <v>62</v>
      </c>
      <c r="D2" s="44" t="s">
        <v>64</v>
      </c>
      <c r="E2" s="100" t="s">
        <v>169</v>
      </c>
      <c r="F2" s="100" t="s">
        <v>170</v>
      </c>
      <c r="G2" s="44" t="s">
        <v>72</v>
      </c>
      <c r="H2" s="37"/>
      <c r="I2" s="37"/>
    </row>
    <row r="3" spans="1:9" ht="12.75">
      <c r="A3" s="40">
        <v>41640</v>
      </c>
      <c r="B3" s="76">
        <f>C3*1.15</f>
        <v>0.8481113273816727</v>
      </c>
      <c r="C3" s="76">
        <v>0.737488110766672</v>
      </c>
      <c r="D3" s="76">
        <f>C3/1.1</f>
        <v>0.6704437370606109</v>
      </c>
      <c r="E3" s="76">
        <v>0.8406615228617814</v>
      </c>
      <c r="F3" s="76">
        <v>0.8406615228617814</v>
      </c>
      <c r="G3" s="74">
        <f>((E3/C3)-1)*100</f>
        <v>13.989840729480129</v>
      </c>
      <c r="H3" s="37"/>
      <c r="I3" s="37"/>
    </row>
    <row r="4" spans="1:9" ht="12.75">
      <c r="A4" s="40">
        <v>41671</v>
      </c>
      <c r="B4" s="76">
        <f aca="true" t="shared" si="0" ref="B4:B16">C4*1.15</f>
        <v>0.8544394614111603</v>
      </c>
      <c r="C4" s="76">
        <v>0.7429908360097047</v>
      </c>
      <c r="D4" s="76">
        <f aca="true" t="shared" si="1" ref="D4:D16">C4/1.1</f>
        <v>0.675446214554277</v>
      </c>
      <c r="E4" s="76">
        <v>0.9199047863849119</v>
      </c>
      <c r="F4" s="76">
        <v>0.9199047863849119</v>
      </c>
      <c r="G4" s="74">
        <f aca="true" t="shared" si="2" ref="G4:G26">((E4/C4)-1)*100</f>
        <v>23.81105416122473</v>
      </c>
      <c r="H4" s="37"/>
      <c r="I4" s="37"/>
    </row>
    <row r="5" spans="1:9" ht="12.75">
      <c r="A5" s="40">
        <v>41699</v>
      </c>
      <c r="B5" s="76">
        <f t="shared" si="0"/>
        <v>0.8737566418168652</v>
      </c>
      <c r="C5" s="76">
        <v>0.7597883841885785</v>
      </c>
      <c r="D5" s="76">
        <f t="shared" si="1"/>
        <v>0.6907167128987077</v>
      </c>
      <c r="E5" s="76">
        <v>0.9081510198862209</v>
      </c>
      <c r="F5" s="76">
        <v>0.9081510198862209</v>
      </c>
      <c r="G5" s="74">
        <f t="shared" si="2"/>
        <v>19.52683652252558</v>
      </c>
      <c r="H5" s="37"/>
      <c r="I5" s="37"/>
    </row>
    <row r="6" spans="1:9" ht="12.75">
      <c r="A6" s="40">
        <v>41730</v>
      </c>
      <c r="B6" s="76">
        <f t="shared" si="0"/>
        <v>0.9386638159171213</v>
      </c>
      <c r="C6" s="76">
        <v>0.8162294051453229</v>
      </c>
      <c r="D6" s="76">
        <f t="shared" si="1"/>
        <v>0.7420267319502936</v>
      </c>
      <c r="E6" s="76">
        <v>0.8823419504183693</v>
      </c>
      <c r="F6" s="76">
        <v>0.8823419504183693</v>
      </c>
      <c r="G6" s="74">
        <f t="shared" si="2"/>
        <v>8.09975049370777</v>
      </c>
      <c r="H6" s="37"/>
      <c r="I6" s="37"/>
    </row>
    <row r="7" spans="1:9" ht="12.75">
      <c r="A7" s="40">
        <v>41760</v>
      </c>
      <c r="B7" s="76">
        <f t="shared" si="0"/>
        <v>0.9304625430699732</v>
      </c>
      <c r="C7" s="76">
        <v>0.8090978635391072</v>
      </c>
      <c r="D7" s="76">
        <f t="shared" si="1"/>
        <v>0.7355435123082792</v>
      </c>
      <c r="E7" s="76">
        <v>0.9108702386536877</v>
      </c>
      <c r="F7" s="76">
        <v>0.9108702386536877</v>
      </c>
      <c r="G7" s="74">
        <f t="shared" si="2"/>
        <v>12.578500043173246</v>
      </c>
      <c r="H7" s="37"/>
      <c r="I7" s="37"/>
    </row>
    <row r="8" spans="1:9" ht="12.75">
      <c r="A8" s="40">
        <v>41791</v>
      </c>
      <c r="B8" s="76">
        <f t="shared" si="0"/>
        <v>0.9330706103012301</v>
      </c>
      <c r="C8" s="76">
        <v>0.8113657480880262</v>
      </c>
      <c r="D8" s="76">
        <f t="shared" si="1"/>
        <v>0.7376052255345692</v>
      </c>
      <c r="E8" s="76">
        <v>0.9042079652786196</v>
      </c>
      <c r="F8" s="76">
        <v>0.9042079652786196</v>
      </c>
      <c r="G8" s="74">
        <f t="shared" si="2"/>
        <v>11.44270847141069</v>
      </c>
      <c r="H8" s="37"/>
      <c r="I8" s="37"/>
    </row>
    <row r="9" spans="1:9" ht="12.75">
      <c r="A9" s="40">
        <v>41821</v>
      </c>
      <c r="B9" s="76">
        <f t="shared" si="0"/>
        <v>0.9065559008258008</v>
      </c>
      <c r="C9" s="76">
        <v>0.7883094789789573</v>
      </c>
      <c r="D9" s="76">
        <f t="shared" si="1"/>
        <v>0.7166449808899611</v>
      </c>
      <c r="E9" s="76">
        <v>0.9039923643675434</v>
      </c>
      <c r="F9" s="76">
        <v>0.9039923643675434</v>
      </c>
      <c r="G9" s="74">
        <f t="shared" si="2"/>
        <v>14.674805831134009</v>
      </c>
      <c r="H9" s="37"/>
      <c r="I9" s="37"/>
    </row>
    <row r="10" spans="1:9" ht="12.75">
      <c r="A10" s="40">
        <v>41852</v>
      </c>
      <c r="B10" s="76">
        <f t="shared" si="0"/>
        <v>0.9000647818361014</v>
      </c>
      <c r="C10" s="76">
        <v>0.7826650276835665</v>
      </c>
      <c r="D10" s="76">
        <f t="shared" si="1"/>
        <v>0.711513661530515</v>
      </c>
      <c r="E10" s="76">
        <v>0.9692511829201977</v>
      </c>
      <c r="F10" s="76">
        <v>0.9692511829201977</v>
      </c>
      <c r="G10" s="74">
        <f t="shared" si="2"/>
        <v>23.839848292297596</v>
      </c>
      <c r="H10" s="37"/>
      <c r="I10" s="37"/>
    </row>
    <row r="11" spans="1:9" ht="12.75">
      <c r="A11" s="40">
        <v>41883</v>
      </c>
      <c r="B11" s="76">
        <f t="shared" si="0"/>
        <v>0.90099509350753</v>
      </c>
      <c r="C11" s="76">
        <v>0.783473994354374</v>
      </c>
      <c r="D11" s="76">
        <f t="shared" si="1"/>
        <v>0.7122490857767036</v>
      </c>
      <c r="E11" s="76">
        <v>0.9720554375172783</v>
      </c>
      <c r="F11" s="76">
        <v>0.9720554375172783</v>
      </c>
      <c r="G11" s="74">
        <f t="shared" si="2"/>
        <v>24.069904619910943</v>
      </c>
      <c r="H11" s="37"/>
      <c r="I11" s="37"/>
    </row>
    <row r="12" spans="1:9" ht="12.75">
      <c r="A12" s="40">
        <v>41913</v>
      </c>
      <c r="B12" s="76">
        <f t="shared" si="0"/>
        <v>0.8650103328347905</v>
      </c>
      <c r="C12" s="76">
        <v>0.7521828981172092</v>
      </c>
      <c r="D12" s="76">
        <f t="shared" si="1"/>
        <v>0.6838026346520083</v>
      </c>
      <c r="E12" s="76">
        <v>0.7621224896576118</v>
      </c>
      <c r="F12" s="76">
        <v>0.7621224896576118</v>
      </c>
      <c r="G12" s="74">
        <f t="shared" si="2"/>
        <v>1.3214328011554644</v>
      </c>
      <c r="H12" s="37"/>
      <c r="I12" s="37"/>
    </row>
    <row r="13" spans="1:9" ht="12.75">
      <c r="A13" s="40">
        <v>41944</v>
      </c>
      <c r="B13" s="76">
        <f t="shared" si="0"/>
        <v>0.8608114437231149</v>
      </c>
      <c r="C13" s="76">
        <v>0.748531690194013</v>
      </c>
      <c r="D13" s="76">
        <f t="shared" si="1"/>
        <v>0.68048335472183</v>
      </c>
      <c r="E13" s="76">
        <v>0.7294417758149765</v>
      </c>
      <c r="F13" s="76">
        <v>0.7294417758149765</v>
      </c>
      <c r="G13" s="74">
        <f t="shared" si="2"/>
        <v>-2.5503147868179865</v>
      </c>
      <c r="H13" s="37"/>
      <c r="I13" s="37"/>
    </row>
    <row r="14" spans="1:9" ht="12.75">
      <c r="A14" s="40">
        <v>41974</v>
      </c>
      <c r="B14" s="76">
        <f t="shared" si="0"/>
        <v>0.8620343756015482</v>
      </c>
      <c r="C14" s="76">
        <v>0.7495951092187376</v>
      </c>
      <c r="D14" s="76">
        <f t="shared" si="1"/>
        <v>0.6814500992897614</v>
      </c>
      <c r="E14" s="76">
        <v>0.7191691888438606</v>
      </c>
      <c r="F14" s="76">
        <v>0.7191691888438606</v>
      </c>
      <c r="G14" s="74">
        <f t="shared" si="2"/>
        <v>-4.058980641774501</v>
      </c>
      <c r="H14" s="37"/>
      <c r="I14" s="37"/>
    </row>
    <row r="15" spans="1:9" ht="12.75">
      <c r="A15" s="40">
        <v>42005</v>
      </c>
      <c r="B15" s="76">
        <f t="shared" si="0"/>
        <v>0.8415153565216494</v>
      </c>
      <c r="C15" s="76">
        <v>0.7317524839318691</v>
      </c>
      <c r="D15" s="76">
        <f t="shared" si="1"/>
        <v>0.6652295308471536</v>
      </c>
      <c r="E15" s="76">
        <v>0.7310456976097152</v>
      </c>
      <c r="F15" s="76">
        <v>0.7310456976097152</v>
      </c>
      <c r="G15" s="74">
        <f t="shared" si="2"/>
        <v>-0.0965881684960257</v>
      </c>
      <c r="H15" s="37"/>
      <c r="I15" s="37"/>
    </row>
    <row r="16" spans="1:9" ht="12.75">
      <c r="A16" s="40">
        <v>42036</v>
      </c>
      <c r="B16" s="76">
        <f t="shared" si="0"/>
        <v>0.8408578186244683</v>
      </c>
      <c r="C16" s="76">
        <v>0.7311807118473638</v>
      </c>
      <c r="D16" s="76">
        <f t="shared" si="1"/>
        <v>0.6647097380430579</v>
      </c>
      <c r="E16" s="76">
        <v>0.73</v>
      </c>
      <c r="F16" s="76">
        <v>0.72</v>
      </c>
      <c r="G16" s="74">
        <f t="shared" si="2"/>
        <v>-0.16148016875071614</v>
      </c>
      <c r="H16" s="37"/>
      <c r="I16" s="37"/>
    </row>
    <row r="17" spans="1:9" ht="12.75">
      <c r="A17" s="40">
        <v>42064</v>
      </c>
      <c r="B17" s="76"/>
      <c r="C17" s="76"/>
      <c r="D17" s="76"/>
      <c r="E17" s="76"/>
      <c r="F17" s="76"/>
      <c r="G17" s="74" t="e">
        <f t="shared" si="2"/>
        <v>#DIV/0!</v>
      </c>
      <c r="H17" s="37"/>
      <c r="I17" s="37"/>
    </row>
    <row r="18" spans="1:9" ht="12.75">
      <c r="A18" s="40">
        <v>42095</v>
      </c>
      <c r="B18" s="76"/>
      <c r="C18" s="76"/>
      <c r="D18" s="76"/>
      <c r="E18" s="76"/>
      <c r="F18" s="76"/>
      <c r="G18" s="74" t="e">
        <f t="shared" si="2"/>
        <v>#DIV/0!</v>
      </c>
      <c r="H18" s="37"/>
      <c r="I18" s="37"/>
    </row>
    <row r="19" spans="1:9" ht="12.75">
      <c r="A19" s="40">
        <v>42125</v>
      </c>
      <c r="B19" s="76"/>
      <c r="C19" s="76"/>
      <c r="D19" s="76"/>
      <c r="E19" s="76"/>
      <c r="F19" s="76"/>
      <c r="G19" s="74" t="e">
        <f t="shared" si="2"/>
        <v>#DIV/0!</v>
      </c>
      <c r="H19" s="37"/>
      <c r="I19" s="37"/>
    </row>
    <row r="20" spans="1:9" ht="12.75">
      <c r="A20" s="40">
        <v>42156</v>
      </c>
      <c r="B20" s="76"/>
      <c r="C20" s="76"/>
      <c r="D20" s="76"/>
      <c r="E20" s="76"/>
      <c r="F20" s="76"/>
      <c r="G20" s="74" t="e">
        <f t="shared" si="2"/>
        <v>#DIV/0!</v>
      </c>
      <c r="H20" s="37"/>
      <c r="I20" s="37"/>
    </row>
    <row r="21" spans="1:9" ht="12.75">
      <c r="A21" s="40">
        <v>42186</v>
      </c>
      <c r="B21" s="76"/>
      <c r="C21" s="76"/>
      <c r="D21" s="76"/>
      <c r="E21" s="76"/>
      <c r="F21" s="76"/>
      <c r="G21" s="74" t="e">
        <f t="shared" si="2"/>
        <v>#DIV/0!</v>
      </c>
      <c r="H21" s="37"/>
      <c r="I21" s="37"/>
    </row>
    <row r="22" spans="1:9" ht="12.75">
      <c r="A22" s="40">
        <v>42217</v>
      </c>
      <c r="B22" s="76"/>
      <c r="C22" s="76"/>
      <c r="D22" s="76"/>
      <c r="E22" s="76"/>
      <c r="F22" s="76"/>
      <c r="G22" s="74" t="e">
        <f t="shared" si="2"/>
        <v>#DIV/0!</v>
      </c>
      <c r="H22" s="37"/>
      <c r="I22" s="37"/>
    </row>
    <row r="23" spans="1:9" ht="12.75">
      <c r="A23" s="40">
        <v>42248</v>
      </c>
      <c r="B23" s="76"/>
      <c r="C23" s="76"/>
      <c r="D23" s="76"/>
      <c r="E23" s="76"/>
      <c r="F23" s="76"/>
      <c r="G23" s="74" t="e">
        <f t="shared" si="2"/>
        <v>#DIV/0!</v>
      </c>
      <c r="H23" s="37"/>
      <c r="I23" s="37"/>
    </row>
    <row r="24" spans="1:9" ht="12.75">
      <c r="A24" s="40">
        <v>42278</v>
      </c>
      <c r="B24" s="76"/>
      <c r="C24" s="76"/>
      <c r="D24" s="76"/>
      <c r="E24" s="76"/>
      <c r="F24" s="76"/>
      <c r="G24" s="74" t="e">
        <f t="shared" si="2"/>
        <v>#DIV/0!</v>
      </c>
      <c r="H24" s="37"/>
      <c r="I24" s="37"/>
    </row>
    <row r="25" spans="1:9" ht="12.75">
      <c r="A25" s="40">
        <v>42309</v>
      </c>
      <c r="B25" s="76"/>
      <c r="C25" s="76"/>
      <c r="D25" s="76"/>
      <c r="E25" s="76"/>
      <c r="F25" s="76"/>
      <c r="G25" s="74" t="e">
        <f t="shared" si="2"/>
        <v>#DIV/0!</v>
      </c>
      <c r="H25" s="37"/>
      <c r="I25" s="37"/>
    </row>
    <row r="26" spans="1:9" ht="12.75">
      <c r="A26" s="40">
        <v>42339</v>
      </c>
      <c r="B26" s="76"/>
      <c r="C26" s="76"/>
      <c r="D26" s="76"/>
      <c r="E26" s="76"/>
      <c r="F26" s="76"/>
      <c r="G26" s="74" t="e">
        <f t="shared" si="2"/>
        <v>#DIV/0!</v>
      </c>
      <c r="H26" s="37"/>
      <c r="I26" s="37"/>
    </row>
    <row r="27" spans="1:9" ht="12.75">
      <c r="A27" s="37"/>
      <c r="B27" s="37"/>
      <c r="C27" s="37"/>
      <c r="D27" s="37"/>
      <c r="E27" s="37"/>
      <c r="F27" s="37"/>
      <c r="G27" s="37"/>
      <c r="H27" s="37"/>
      <c r="I27" s="37"/>
    </row>
    <row r="28" spans="1:9" ht="12.75">
      <c r="A28" s="41" t="s">
        <v>71</v>
      </c>
      <c r="B28" s="37"/>
      <c r="C28" s="37"/>
      <c r="D28" s="37"/>
      <c r="E28" s="37"/>
      <c r="F28" s="37"/>
      <c r="G28" s="37"/>
      <c r="H28" s="37"/>
      <c r="I28" s="37"/>
    </row>
    <row r="29" spans="1:9" ht="63.75">
      <c r="A29" s="38" t="s">
        <v>61</v>
      </c>
      <c r="B29" s="39" t="s">
        <v>65</v>
      </c>
      <c r="C29" s="39" t="s">
        <v>66</v>
      </c>
      <c r="D29" s="39" t="s">
        <v>68</v>
      </c>
      <c r="E29" s="39" t="s">
        <v>67</v>
      </c>
      <c r="F29" s="39" t="s">
        <v>69</v>
      </c>
      <c r="G29" s="37"/>
      <c r="H29" s="37"/>
      <c r="I29" s="37"/>
    </row>
    <row r="30" spans="1:9" ht="12.75">
      <c r="A30" s="40">
        <v>41640</v>
      </c>
      <c r="B30" s="75">
        <v>3.2</v>
      </c>
      <c r="C30" s="75">
        <v>8.9</v>
      </c>
      <c r="D30" s="75">
        <v>880</v>
      </c>
      <c r="E30" s="75">
        <v>860</v>
      </c>
      <c r="F30" s="75">
        <v>50</v>
      </c>
      <c r="G30" s="37"/>
      <c r="H30" s="37"/>
      <c r="I30" s="37"/>
    </row>
    <row r="31" spans="1:9" ht="12.75">
      <c r="A31" s="40">
        <v>41671</v>
      </c>
      <c r="B31" s="75">
        <v>3.3</v>
      </c>
      <c r="C31" s="75">
        <v>8.9</v>
      </c>
      <c r="D31" s="75">
        <v>870</v>
      </c>
      <c r="E31" s="75">
        <v>840</v>
      </c>
      <c r="F31" s="75">
        <v>50</v>
      </c>
      <c r="G31" s="37"/>
      <c r="H31" s="37"/>
      <c r="I31" s="37"/>
    </row>
    <row r="32" spans="1:9" ht="12.75">
      <c r="A32" s="40">
        <v>41699</v>
      </c>
      <c r="B32" s="75">
        <v>3.3</v>
      </c>
      <c r="C32" s="75">
        <v>8.9</v>
      </c>
      <c r="D32" s="75">
        <v>850</v>
      </c>
      <c r="E32" s="75">
        <v>820</v>
      </c>
      <c r="F32" s="75">
        <v>50</v>
      </c>
      <c r="G32" s="37"/>
      <c r="H32" s="37"/>
      <c r="I32" s="37"/>
    </row>
    <row r="33" spans="1:9" ht="12.75">
      <c r="A33" s="40">
        <v>41730</v>
      </c>
      <c r="B33" s="75">
        <v>3.32</v>
      </c>
      <c r="C33" s="75">
        <v>8.7</v>
      </c>
      <c r="D33" s="75">
        <v>700</v>
      </c>
      <c r="E33" s="75">
        <v>750</v>
      </c>
      <c r="F33" s="75">
        <v>50</v>
      </c>
      <c r="G33" s="37"/>
      <c r="H33" s="37"/>
      <c r="I33" s="37"/>
    </row>
    <row r="34" spans="1:9" ht="12.75">
      <c r="A34" s="40">
        <v>41760</v>
      </c>
      <c r="B34" s="75">
        <v>3.45</v>
      </c>
      <c r="C34" s="75">
        <v>8.9</v>
      </c>
      <c r="D34" s="75">
        <v>500</v>
      </c>
      <c r="E34" s="75">
        <v>400</v>
      </c>
      <c r="F34" s="75">
        <v>50</v>
      </c>
      <c r="G34" s="37"/>
      <c r="H34" s="37"/>
      <c r="I34" s="37"/>
    </row>
    <row r="35" spans="1:9" ht="12.75">
      <c r="A35" s="40">
        <v>41791</v>
      </c>
      <c r="B35" s="75">
        <v>3.47</v>
      </c>
      <c r="C35" s="75">
        <v>8.9</v>
      </c>
      <c r="D35" s="75">
        <v>480</v>
      </c>
      <c r="E35" s="75">
        <v>400</v>
      </c>
      <c r="F35" s="75">
        <v>50</v>
      </c>
      <c r="G35" s="37"/>
      <c r="H35" s="37"/>
      <c r="I35" s="37"/>
    </row>
    <row r="36" spans="1:9" ht="12.75">
      <c r="A36" s="40">
        <v>41821</v>
      </c>
      <c r="B36" s="75">
        <v>3.5</v>
      </c>
      <c r="C36" s="75">
        <v>8.9</v>
      </c>
      <c r="D36" s="75">
        <v>480</v>
      </c>
      <c r="E36" s="75">
        <v>400</v>
      </c>
      <c r="F36" s="75">
        <v>50</v>
      </c>
      <c r="G36" s="37"/>
      <c r="H36" s="37"/>
      <c r="I36" s="37"/>
    </row>
    <row r="37" spans="1:9" ht="12.75">
      <c r="A37" s="40">
        <v>41852</v>
      </c>
      <c r="B37" s="75">
        <v>3.6</v>
      </c>
      <c r="C37" s="75">
        <v>8.9</v>
      </c>
      <c r="D37" s="75">
        <v>480</v>
      </c>
      <c r="E37" s="75">
        <v>400</v>
      </c>
      <c r="F37" s="75">
        <v>50</v>
      </c>
      <c r="G37" s="37"/>
      <c r="H37" s="37"/>
      <c r="I37" s="37"/>
    </row>
    <row r="38" spans="1:9" ht="12.75">
      <c r="A38" s="40">
        <v>41883</v>
      </c>
      <c r="B38" s="75">
        <v>3.6</v>
      </c>
      <c r="C38" s="75">
        <v>8.9</v>
      </c>
      <c r="D38" s="75">
        <v>400</v>
      </c>
      <c r="E38" s="75">
        <v>300</v>
      </c>
      <c r="F38" s="75">
        <v>50</v>
      </c>
      <c r="G38" s="37"/>
      <c r="H38" s="37"/>
      <c r="I38" s="37"/>
    </row>
    <row r="39" spans="1:9" ht="12.75">
      <c r="A39" s="40">
        <v>41913</v>
      </c>
      <c r="B39" s="75">
        <v>3.47</v>
      </c>
      <c r="C39" s="75">
        <v>8.9</v>
      </c>
      <c r="D39" s="75">
        <v>420</v>
      </c>
      <c r="E39" s="75">
        <v>320</v>
      </c>
      <c r="F39" s="75">
        <v>50</v>
      </c>
      <c r="G39" s="37"/>
      <c r="H39" s="37"/>
      <c r="I39" s="37"/>
    </row>
    <row r="40" spans="1:9" ht="12.75">
      <c r="A40" s="40">
        <v>41944</v>
      </c>
      <c r="B40" s="75">
        <v>3.55</v>
      </c>
      <c r="C40" s="75">
        <v>8.9</v>
      </c>
      <c r="D40" s="75">
        <v>400</v>
      </c>
      <c r="E40" s="75">
        <v>380</v>
      </c>
      <c r="F40" s="75">
        <v>50</v>
      </c>
      <c r="G40" s="37"/>
      <c r="H40" s="37"/>
      <c r="I40" s="37"/>
    </row>
    <row r="41" spans="1:9" ht="12.75">
      <c r="A41" s="40">
        <v>41974</v>
      </c>
      <c r="B41" s="75">
        <v>3.47</v>
      </c>
      <c r="C41" s="75">
        <v>8.9</v>
      </c>
      <c r="D41" s="75">
        <v>400</v>
      </c>
      <c r="E41" s="75">
        <v>400</v>
      </c>
      <c r="F41" s="75">
        <v>50</v>
      </c>
      <c r="G41" s="37"/>
      <c r="H41" s="37"/>
      <c r="I41" s="37"/>
    </row>
    <row r="42" spans="1:9" ht="12.75">
      <c r="A42" s="40">
        <v>42005</v>
      </c>
      <c r="B42" s="75">
        <v>3.56</v>
      </c>
      <c r="C42" s="75">
        <v>8.9</v>
      </c>
      <c r="D42" s="75">
        <v>480</v>
      </c>
      <c r="E42" s="75">
        <v>300</v>
      </c>
      <c r="F42" s="75">
        <v>50</v>
      </c>
      <c r="G42" s="37"/>
      <c r="H42" s="37"/>
      <c r="I42" s="37"/>
    </row>
    <row r="43" spans="1:9" ht="12.75">
      <c r="A43" s="40">
        <v>42036</v>
      </c>
      <c r="B43" s="75">
        <v>3.5</v>
      </c>
      <c r="C43" s="75">
        <v>8.9</v>
      </c>
      <c r="D43" s="75">
        <v>480</v>
      </c>
      <c r="E43" s="75">
        <v>300</v>
      </c>
      <c r="F43" s="75">
        <v>50</v>
      </c>
      <c r="G43" s="37"/>
      <c r="H43" s="37"/>
      <c r="I43" s="37"/>
    </row>
    <row r="44" spans="1:9" ht="12.75">
      <c r="A44" s="40">
        <v>42064</v>
      </c>
      <c r="B44" s="75"/>
      <c r="C44" s="75"/>
      <c r="D44" s="75"/>
      <c r="E44" s="75"/>
      <c r="F44" s="75"/>
      <c r="G44" s="37"/>
      <c r="H44" s="37"/>
      <c r="I44" s="37"/>
    </row>
    <row r="45" spans="1:9" ht="12.75">
      <c r="A45" s="40">
        <v>42095</v>
      </c>
      <c r="B45" s="75"/>
      <c r="C45" s="75"/>
      <c r="D45" s="75"/>
      <c r="E45" s="75"/>
      <c r="F45" s="75"/>
      <c r="G45" s="37"/>
      <c r="H45" s="37"/>
      <c r="I45" s="37"/>
    </row>
    <row r="46" spans="1:9" ht="12.75">
      <c r="A46" s="40">
        <v>42125</v>
      </c>
      <c r="B46" s="75"/>
      <c r="C46" s="75"/>
      <c r="D46" s="75"/>
      <c r="E46" s="75"/>
      <c r="F46" s="75"/>
      <c r="G46" s="37"/>
      <c r="H46" s="37"/>
      <c r="I46" s="37"/>
    </row>
    <row r="47" spans="1:9" ht="12.75">
      <c r="A47" s="40">
        <v>42156</v>
      </c>
      <c r="B47" s="75"/>
      <c r="C47" s="75"/>
      <c r="D47" s="75"/>
      <c r="E47" s="75"/>
      <c r="F47" s="75"/>
      <c r="G47" s="37"/>
      <c r="H47" s="37"/>
      <c r="I47" s="37"/>
    </row>
    <row r="48" spans="1:9" ht="12.75">
      <c r="A48" s="40">
        <v>42186</v>
      </c>
      <c r="B48" s="75"/>
      <c r="C48" s="75"/>
      <c r="D48" s="75"/>
      <c r="E48" s="75"/>
      <c r="F48" s="75"/>
      <c r="G48" s="37"/>
      <c r="H48" s="37"/>
      <c r="I48" s="37"/>
    </row>
    <row r="49" spans="1:9" ht="12.75">
      <c r="A49" s="40">
        <v>42217</v>
      </c>
      <c r="B49" s="75"/>
      <c r="C49" s="75"/>
      <c r="D49" s="75"/>
      <c r="E49" s="75"/>
      <c r="F49" s="75"/>
      <c r="G49" s="37"/>
      <c r="H49" s="37"/>
      <c r="I49" s="37"/>
    </row>
    <row r="50" spans="1:9" ht="12.75">
      <c r="A50" s="40">
        <v>42248</v>
      </c>
      <c r="B50" s="75"/>
      <c r="C50" s="75"/>
      <c r="D50" s="75"/>
      <c r="E50" s="75"/>
      <c r="F50" s="75"/>
      <c r="G50" s="37"/>
      <c r="H50" s="37"/>
      <c r="I50" s="37"/>
    </row>
    <row r="51" spans="1:9" ht="12.75">
      <c r="A51" s="40">
        <v>42278</v>
      </c>
      <c r="B51" s="75"/>
      <c r="C51" s="75"/>
      <c r="D51" s="75"/>
      <c r="E51" s="75"/>
      <c r="F51" s="75"/>
      <c r="G51" s="37"/>
      <c r="H51" s="37"/>
      <c r="I51" s="37"/>
    </row>
    <row r="52" spans="1:9" ht="12.75">
      <c r="A52" s="40">
        <v>42309</v>
      </c>
      <c r="B52" s="75"/>
      <c r="C52" s="75"/>
      <c r="D52" s="75"/>
      <c r="E52" s="75"/>
      <c r="F52" s="75"/>
      <c r="G52" s="37"/>
      <c r="H52" s="37"/>
      <c r="I52" s="37"/>
    </row>
    <row r="53" spans="1:9" ht="12.75">
      <c r="A53" s="40">
        <v>42339</v>
      </c>
      <c r="B53" s="75"/>
      <c r="C53" s="75"/>
      <c r="D53" s="75"/>
      <c r="E53" s="75"/>
      <c r="F53" s="75"/>
      <c r="G53" s="37"/>
      <c r="H53" s="37"/>
      <c r="I53" s="37"/>
    </row>
    <row r="54" spans="1:9" ht="12.75">
      <c r="A54" s="37"/>
      <c r="B54" s="37"/>
      <c r="C54" s="37"/>
      <c r="D54" s="37"/>
      <c r="E54" s="37"/>
      <c r="F54" s="37"/>
      <c r="G54" s="37"/>
      <c r="H54" s="37"/>
      <c r="I54" s="37"/>
    </row>
    <row r="55" spans="1:9" ht="12.75">
      <c r="A55" s="37"/>
      <c r="B55" s="37"/>
      <c r="C55" s="37"/>
      <c r="D55" s="37"/>
      <c r="E55" s="37"/>
      <c r="F55" s="37"/>
      <c r="G55" s="37"/>
      <c r="H55" s="37"/>
      <c r="I55" s="37"/>
    </row>
    <row r="56" spans="1:9" ht="12.75">
      <c r="A56" s="37"/>
      <c r="B56" s="37"/>
      <c r="C56" s="37"/>
      <c r="D56" s="37"/>
      <c r="E56" s="37"/>
      <c r="F56" s="37"/>
      <c r="G56" s="37"/>
      <c r="H56" s="37"/>
      <c r="I56" s="37"/>
    </row>
    <row r="57" spans="1:9" ht="12.75">
      <c r="A57" s="37"/>
      <c r="B57" s="37"/>
      <c r="C57" s="37"/>
      <c r="D57" s="37"/>
      <c r="E57" s="37"/>
      <c r="F57" s="37"/>
      <c r="G57" s="37"/>
      <c r="H57" s="37"/>
      <c r="I57" s="37"/>
    </row>
    <row r="58" spans="1:9" ht="12.75">
      <c r="A58" s="37"/>
      <c r="B58" s="37"/>
      <c r="C58" s="37"/>
      <c r="D58" s="37"/>
      <c r="E58" s="37"/>
      <c r="F58" s="37"/>
      <c r="G58" s="37"/>
      <c r="H58" s="37"/>
      <c r="I58" s="37"/>
    </row>
    <row r="59" spans="1:9" ht="12.75">
      <c r="A59" s="37"/>
      <c r="B59" s="37"/>
      <c r="C59" s="37"/>
      <c r="D59" s="37"/>
      <c r="E59" s="37"/>
      <c r="F59" s="37"/>
      <c r="G59" s="37"/>
      <c r="H59" s="37"/>
      <c r="I59" s="37"/>
    </row>
    <row r="60" spans="1:9" ht="12.75">
      <c r="A60" s="37"/>
      <c r="B60" s="37"/>
      <c r="C60" s="37"/>
      <c r="D60" s="37"/>
      <c r="E60" s="37"/>
      <c r="F60" s="37"/>
      <c r="G60" s="37"/>
      <c r="H60" s="37"/>
      <c r="I60" s="37"/>
    </row>
    <row r="61" spans="1:9" ht="12.75">
      <c r="A61" s="37"/>
      <c r="B61" s="37"/>
      <c r="C61" s="37"/>
      <c r="D61" s="37"/>
      <c r="E61" s="37"/>
      <c r="F61" s="37"/>
      <c r="G61" s="37"/>
      <c r="H61" s="37"/>
      <c r="I61" s="37"/>
    </row>
    <row r="62" spans="1:9" ht="12.75">
      <c r="A62" s="37"/>
      <c r="B62" s="37"/>
      <c r="C62" s="37"/>
      <c r="D62" s="37"/>
      <c r="E62" s="37"/>
      <c r="F62" s="37"/>
      <c r="G62" s="37"/>
      <c r="H62" s="37"/>
      <c r="I62" s="37"/>
    </row>
    <row r="63" spans="1:9" ht="12.75">
      <c r="A63" s="37"/>
      <c r="B63" s="37"/>
      <c r="C63" s="37"/>
      <c r="D63" s="37"/>
      <c r="E63" s="37"/>
      <c r="F63" s="37"/>
      <c r="G63" s="37"/>
      <c r="H63" s="37"/>
      <c r="I63" s="37"/>
    </row>
  </sheetData>
  <sheetProtection password="9B55" sheet="1"/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5.28125" style="0" customWidth="1"/>
    <col min="2" max="2" width="19.8515625" style="0" customWidth="1"/>
    <col min="3" max="4" width="20.7109375" style="0" customWidth="1"/>
  </cols>
  <sheetData>
    <row r="1" ht="15.75">
      <c r="A1" s="79" t="s">
        <v>127</v>
      </c>
    </row>
    <row r="2" ht="15.75">
      <c r="A2" s="29" t="s">
        <v>59</v>
      </c>
    </row>
    <row r="4" ht="15.75">
      <c r="A4" s="30" t="s">
        <v>40</v>
      </c>
    </row>
    <row r="5" spans="1:4" s="99" customFormat="1" ht="47.25">
      <c r="A5" s="97" t="s">
        <v>168</v>
      </c>
      <c r="B5" s="98" t="s">
        <v>29</v>
      </c>
      <c r="C5" s="98" t="s">
        <v>30</v>
      </c>
      <c r="D5" s="98" t="s">
        <v>31</v>
      </c>
    </row>
    <row r="6" spans="1:4" ht="15">
      <c r="A6" s="31" t="s">
        <v>32</v>
      </c>
      <c r="B6" s="32" t="s">
        <v>122</v>
      </c>
      <c r="C6" s="32" t="s">
        <v>123</v>
      </c>
      <c r="D6" s="32" t="s">
        <v>35</v>
      </c>
    </row>
    <row r="7" spans="1:4" ht="15">
      <c r="A7" s="31" t="s">
        <v>124</v>
      </c>
      <c r="B7" s="32" t="s">
        <v>33</v>
      </c>
      <c r="C7" s="32" t="s">
        <v>34</v>
      </c>
      <c r="D7" s="32" t="s">
        <v>35</v>
      </c>
    </row>
    <row r="8" spans="1:4" ht="15">
      <c r="A8" s="31" t="s">
        <v>38</v>
      </c>
      <c r="B8" s="32" t="s">
        <v>36</v>
      </c>
      <c r="C8" s="32" t="s">
        <v>37</v>
      </c>
      <c r="D8" s="32" t="s">
        <v>35</v>
      </c>
    </row>
    <row r="9" spans="1:4" ht="15">
      <c r="A9" s="31" t="s">
        <v>39</v>
      </c>
      <c r="B9" s="32" t="s">
        <v>125</v>
      </c>
      <c r="C9" s="32" t="s">
        <v>126</v>
      </c>
      <c r="D9" s="32" t="s">
        <v>35</v>
      </c>
    </row>
    <row r="10" spans="1:4" ht="15">
      <c r="A10" s="35"/>
      <c r="B10" s="36"/>
      <c r="C10" s="36"/>
      <c r="D10" s="36"/>
    </row>
    <row r="12" ht="15.75">
      <c r="A12" s="30" t="s">
        <v>60</v>
      </c>
    </row>
    <row r="13" spans="1:3" s="99" customFormat="1" ht="31.5">
      <c r="A13" s="97" t="s">
        <v>41</v>
      </c>
      <c r="B13" s="97" t="s">
        <v>73</v>
      </c>
      <c r="C13" s="97" t="s">
        <v>74</v>
      </c>
    </row>
    <row r="14" spans="1:3" ht="15">
      <c r="A14" s="31" t="s">
        <v>42</v>
      </c>
      <c r="B14" s="32" t="s">
        <v>43</v>
      </c>
      <c r="C14" s="32" t="s">
        <v>44</v>
      </c>
    </row>
    <row r="18" ht="15.75">
      <c r="A18" s="30" t="s">
        <v>48</v>
      </c>
    </row>
    <row r="19" spans="1:3" s="99" customFormat="1" ht="32.25" thickBot="1">
      <c r="A19" s="97" t="s">
        <v>45</v>
      </c>
      <c r="B19" s="98" t="s">
        <v>46</v>
      </c>
      <c r="C19" s="98" t="s">
        <v>47</v>
      </c>
    </row>
    <row r="20" spans="1:3" ht="15.75" thickBot="1">
      <c r="A20" s="80" t="s">
        <v>128</v>
      </c>
      <c r="B20" s="81">
        <v>0.03</v>
      </c>
      <c r="C20" s="82">
        <v>300</v>
      </c>
    </row>
    <row r="21" spans="1:3" ht="15.75" thickBot="1">
      <c r="A21" s="80" t="s">
        <v>129</v>
      </c>
      <c r="B21" s="83">
        <v>0.0225</v>
      </c>
      <c r="C21" s="84">
        <v>225</v>
      </c>
    </row>
    <row r="22" spans="1:3" ht="15.75" thickBot="1">
      <c r="A22" s="80" t="s">
        <v>130</v>
      </c>
      <c r="B22" s="83">
        <v>0.015</v>
      </c>
      <c r="C22" s="84">
        <v>150</v>
      </c>
    </row>
    <row r="23" spans="1:3" ht="15.75" thickBot="1">
      <c r="A23" s="80" t="s">
        <v>131</v>
      </c>
      <c r="B23" s="83">
        <v>0.0075</v>
      </c>
      <c r="C23" s="84">
        <v>75</v>
      </c>
    </row>
    <row r="24" spans="1:3" ht="16.5" thickBot="1">
      <c r="A24" s="85" t="s">
        <v>101</v>
      </c>
      <c r="B24" s="86">
        <v>0</v>
      </c>
      <c r="C24" s="91">
        <v>0</v>
      </c>
    </row>
    <row r="25" spans="1:3" ht="15.75" thickBot="1">
      <c r="A25" s="80" t="s">
        <v>132</v>
      </c>
      <c r="B25" s="83">
        <v>-0.0013</v>
      </c>
      <c r="C25" s="84">
        <v>-13</v>
      </c>
    </row>
    <row r="26" spans="1:3" ht="15.75" thickBot="1">
      <c r="A26" s="80" t="s">
        <v>133</v>
      </c>
      <c r="B26" s="83">
        <v>-0.0025</v>
      </c>
      <c r="C26" s="84">
        <v>-25</v>
      </c>
    </row>
    <row r="27" spans="1:3" ht="15.75" thickBot="1">
      <c r="A27" s="87" t="s">
        <v>134</v>
      </c>
      <c r="B27" s="81">
        <v>-0.0038</v>
      </c>
      <c r="C27" s="82">
        <v>-38</v>
      </c>
    </row>
    <row r="28" spans="1:3" ht="15.75" thickBot="1">
      <c r="A28" s="87" t="s">
        <v>135</v>
      </c>
      <c r="B28" s="81">
        <v>-0.005</v>
      </c>
      <c r="C28" s="84">
        <v>-50</v>
      </c>
    </row>
    <row r="29" spans="1:3" ht="15.75" thickBot="1">
      <c r="A29" s="87" t="s">
        <v>136</v>
      </c>
      <c r="B29" s="88">
        <v>-0.0133</v>
      </c>
      <c r="C29" s="89">
        <v>-133</v>
      </c>
    </row>
    <row r="30" spans="1:3" ht="15.75" thickBot="1">
      <c r="A30" s="87" t="s">
        <v>137</v>
      </c>
      <c r="B30" s="88">
        <v>-0.0216</v>
      </c>
      <c r="C30" s="89">
        <v>-216</v>
      </c>
    </row>
    <row r="31" spans="1:3" ht="15.75" thickBot="1">
      <c r="A31" s="87" t="s">
        <v>138</v>
      </c>
      <c r="B31" s="88">
        <v>-0.03</v>
      </c>
      <c r="C31" s="90">
        <v>-300</v>
      </c>
    </row>
    <row r="35" ht="15.75">
      <c r="A35" s="30" t="s">
        <v>49</v>
      </c>
    </row>
    <row r="36" spans="1:3" s="99" customFormat="1" ht="31.5">
      <c r="A36" s="97" t="s">
        <v>50</v>
      </c>
      <c r="B36" s="98" t="s">
        <v>46</v>
      </c>
      <c r="C36" s="98" t="s">
        <v>47</v>
      </c>
    </row>
    <row r="37" spans="1:3" ht="15.75" thickBot="1">
      <c r="A37" s="80" t="s">
        <v>139</v>
      </c>
      <c r="B37" s="83">
        <v>0.02</v>
      </c>
      <c r="C37" s="84">
        <v>200</v>
      </c>
    </row>
    <row r="38" spans="1:3" ht="15.75" thickBot="1">
      <c r="A38" s="80" t="s">
        <v>140</v>
      </c>
      <c r="B38" s="83">
        <v>0.0133</v>
      </c>
      <c r="C38" s="84">
        <v>133</v>
      </c>
    </row>
    <row r="39" spans="1:3" ht="15.75" thickBot="1">
      <c r="A39" s="80" t="s">
        <v>141</v>
      </c>
      <c r="B39" s="83">
        <v>0.0067</v>
      </c>
      <c r="C39" s="84">
        <v>67</v>
      </c>
    </row>
    <row r="40" spans="1:3" ht="16.5" thickBot="1">
      <c r="A40" s="85" t="s">
        <v>104</v>
      </c>
      <c r="B40" s="86">
        <v>0</v>
      </c>
      <c r="C40" s="91">
        <v>0</v>
      </c>
    </row>
    <row r="41" spans="1:3" ht="15.75" thickBot="1">
      <c r="A41" s="80" t="s">
        <v>142</v>
      </c>
      <c r="B41" s="83">
        <v>-0.0067</v>
      </c>
      <c r="C41" s="84">
        <v>-67</v>
      </c>
    </row>
    <row r="42" spans="1:3" ht="15.75" thickBot="1">
      <c r="A42" s="80" t="s">
        <v>143</v>
      </c>
      <c r="B42" s="83">
        <v>-0.0133</v>
      </c>
      <c r="C42" s="84">
        <v>-133</v>
      </c>
    </row>
    <row r="43" spans="1:3" ht="15.75" thickBot="1">
      <c r="A43" s="87" t="s">
        <v>144</v>
      </c>
      <c r="B43" s="81">
        <v>-0.02</v>
      </c>
      <c r="C43" s="82">
        <v>-200</v>
      </c>
    </row>
    <row r="46" ht="15.75">
      <c r="A46" s="30" t="s">
        <v>51</v>
      </c>
    </row>
    <row r="47" spans="1:3" s="99" customFormat="1" ht="31.5">
      <c r="A47" s="97" t="s">
        <v>52</v>
      </c>
      <c r="B47" s="98" t="s">
        <v>46</v>
      </c>
      <c r="C47" s="98" t="s">
        <v>47</v>
      </c>
    </row>
    <row r="48" spans="1:3" ht="15.75" thickBot="1">
      <c r="A48" s="80" t="s">
        <v>145</v>
      </c>
      <c r="B48" s="83">
        <v>0.01</v>
      </c>
      <c r="C48" s="92">
        <v>100</v>
      </c>
    </row>
    <row r="49" spans="1:3" ht="15.75" thickBot="1">
      <c r="A49" s="80" t="s">
        <v>146</v>
      </c>
      <c r="B49" s="83">
        <v>0.0075</v>
      </c>
      <c r="C49" s="84">
        <v>75</v>
      </c>
    </row>
    <row r="50" spans="1:3" ht="15.75" thickBot="1">
      <c r="A50" s="80" t="s">
        <v>147</v>
      </c>
      <c r="B50" s="83">
        <v>0.005</v>
      </c>
      <c r="C50" s="84">
        <v>50</v>
      </c>
    </row>
    <row r="51" spans="1:3" ht="15.75" thickBot="1">
      <c r="A51" s="80" t="s">
        <v>148</v>
      </c>
      <c r="B51" s="83">
        <v>0.0025</v>
      </c>
      <c r="C51" s="84">
        <v>25</v>
      </c>
    </row>
    <row r="52" spans="1:3" ht="16.5" thickBot="1">
      <c r="A52" s="85" t="s">
        <v>53</v>
      </c>
      <c r="B52" s="86">
        <v>0</v>
      </c>
      <c r="C52" s="91">
        <v>0</v>
      </c>
    </row>
    <row r="53" spans="1:3" ht="15.75" thickBot="1">
      <c r="A53" s="80" t="s">
        <v>149</v>
      </c>
      <c r="B53" s="83">
        <v>-0.002</v>
      </c>
      <c r="C53" s="84">
        <v>-20</v>
      </c>
    </row>
    <row r="54" spans="1:3" ht="15.75" thickBot="1">
      <c r="A54" s="93" t="s">
        <v>150</v>
      </c>
      <c r="B54" s="88">
        <v>-0.004</v>
      </c>
      <c r="C54" s="89">
        <v>-40</v>
      </c>
    </row>
    <row r="55" spans="1:3" ht="15.75" thickBot="1">
      <c r="A55" s="80" t="s">
        <v>151</v>
      </c>
      <c r="B55" s="83">
        <v>-0.006</v>
      </c>
      <c r="C55" s="84">
        <v>-60</v>
      </c>
    </row>
    <row r="56" spans="1:3" ht="15.75" thickBot="1">
      <c r="A56" s="80" t="s">
        <v>152</v>
      </c>
      <c r="B56" s="83">
        <v>-0.008</v>
      </c>
      <c r="C56" s="84">
        <v>-80</v>
      </c>
    </row>
    <row r="57" spans="1:3" ht="15.75" thickBot="1">
      <c r="A57" s="80" t="s">
        <v>153</v>
      </c>
      <c r="B57" s="83">
        <v>-0.01</v>
      </c>
      <c r="C57" s="84">
        <v>-100</v>
      </c>
    </row>
    <row r="60" ht="15.75">
      <c r="A60" s="30" t="s">
        <v>55</v>
      </c>
    </row>
    <row r="61" spans="1:3" s="99" customFormat="1" ht="31.5">
      <c r="A61" s="97" t="s">
        <v>54</v>
      </c>
      <c r="B61" s="98" t="s">
        <v>46</v>
      </c>
      <c r="C61" s="98" t="s">
        <v>47</v>
      </c>
    </row>
    <row r="62" spans="1:3" ht="15.75" thickBot="1">
      <c r="A62" s="94" t="s">
        <v>154</v>
      </c>
      <c r="B62" s="83">
        <v>0.04</v>
      </c>
      <c r="C62" s="92">
        <v>400</v>
      </c>
    </row>
    <row r="63" spans="1:3" ht="15.75" thickBot="1">
      <c r="A63" s="80" t="s">
        <v>155</v>
      </c>
      <c r="B63" s="83">
        <v>0.03</v>
      </c>
      <c r="C63" s="84">
        <v>300</v>
      </c>
    </row>
    <row r="64" spans="1:3" ht="15.75" thickBot="1">
      <c r="A64" s="80" t="s">
        <v>156</v>
      </c>
      <c r="B64" s="83">
        <v>0.02</v>
      </c>
      <c r="C64" s="84">
        <v>200</v>
      </c>
    </row>
    <row r="65" spans="1:3" ht="15.75" thickBot="1">
      <c r="A65" s="80" t="s">
        <v>157</v>
      </c>
      <c r="B65" s="83">
        <v>0.01</v>
      </c>
      <c r="C65" s="84">
        <v>100</v>
      </c>
    </row>
    <row r="66" spans="1:3" ht="16.5" thickBot="1">
      <c r="A66" s="85" t="s">
        <v>158</v>
      </c>
      <c r="B66" s="86">
        <v>0</v>
      </c>
      <c r="C66" s="91">
        <v>0</v>
      </c>
    </row>
    <row r="67" spans="1:3" ht="15.75" thickBot="1">
      <c r="A67" s="87" t="s">
        <v>159</v>
      </c>
      <c r="B67" s="81">
        <v>-0.01</v>
      </c>
      <c r="C67" s="95">
        <v>-100</v>
      </c>
    </row>
    <row r="68" spans="1:3" ht="15.75" thickBot="1">
      <c r="A68" s="87" t="s">
        <v>160</v>
      </c>
      <c r="B68" s="81">
        <v>-0.02</v>
      </c>
      <c r="C68" s="95">
        <v>-200</v>
      </c>
    </row>
    <row r="69" spans="1:3" ht="15.75" thickBot="1">
      <c r="A69" s="87" t="s">
        <v>161</v>
      </c>
      <c r="B69" s="81">
        <v>-0.03</v>
      </c>
      <c r="C69" s="95">
        <v>-300</v>
      </c>
    </row>
    <row r="70" spans="1:3" ht="15.75" thickBot="1">
      <c r="A70" s="87" t="s">
        <v>162</v>
      </c>
      <c r="B70" s="81">
        <v>-0.04</v>
      </c>
      <c r="C70" s="95">
        <v>-400</v>
      </c>
    </row>
    <row r="72" ht="15.75">
      <c r="A72" s="30" t="s">
        <v>56</v>
      </c>
    </row>
    <row r="73" spans="1:3" ht="15.75" customHeight="1">
      <c r="A73" s="33" t="s">
        <v>57</v>
      </c>
      <c r="B73" s="117" t="s">
        <v>46</v>
      </c>
      <c r="C73" s="119" t="s">
        <v>47</v>
      </c>
    </row>
    <row r="74" spans="1:3" ht="15.75" customHeight="1">
      <c r="A74" s="34" t="s">
        <v>58</v>
      </c>
      <c r="B74" s="118"/>
      <c r="C74" s="120"/>
    </row>
    <row r="75" spans="1:3" ht="16.5" thickBot="1">
      <c r="A75" s="85" t="s">
        <v>163</v>
      </c>
      <c r="B75" s="86">
        <v>0</v>
      </c>
      <c r="C75" s="96">
        <v>0</v>
      </c>
    </row>
    <row r="76" spans="1:3" ht="15.75" thickBot="1">
      <c r="A76" s="80" t="s">
        <v>164</v>
      </c>
      <c r="B76" s="83">
        <v>0.01</v>
      </c>
      <c r="C76" s="84">
        <v>100</v>
      </c>
    </row>
    <row r="77" spans="1:3" ht="15.75" thickBot="1">
      <c r="A77" s="80" t="s">
        <v>165</v>
      </c>
      <c r="B77" s="83">
        <v>0.02</v>
      </c>
      <c r="C77" s="84">
        <v>200</v>
      </c>
    </row>
    <row r="78" spans="1:3" ht="15.75" thickBot="1">
      <c r="A78" s="80" t="s">
        <v>166</v>
      </c>
      <c r="B78" s="83">
        <v>0.03</v>
      </c>
      <c r="C78" s="84">
        <v>300</v>
      </c>
    </row>
    <row r="79" spans="1:3" ht="15.75" thickBot="1">
      <c r="A79" s="80" t="s">
        <v>171</v>
      </c>
      <c r="B79" s="83">
        <v>0.04</v>
      </c>
      <c r="C79" s="84">
        <v>400</v>
      </c>
    </row>
    <row r="80" spans="1:3" ht="15.75" thickBot="1">
      <c r="A80" s="80" t="s">
        <v>172</v>
      </c>
      <c r="B80" s="83">
        <v>0.045</v>
      </c>
      <c r="C80" s="84">
        <v>450</v>
      </c>
    </row>
    <row r="81" spans="1:3" ht="15.75" thickBot="1">
      <c r="A81" s="80" t="s">
        <v>167</v>
      </c>
      <c r="B81" s="83">
        <v>0.05</v>
      </c>
      <c r="C81" s="84">
        <v>500</v>
      </c>
    </row>
  </sheetData>
  <sheetProtection password="9B55" sheet="1"/>
  <mergeCells count="2">
    <mergeCell ref="B73:B74"/>
    <mergeCell ref="C73:C74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CANZIANI</dc:creator>
  <cp:keywords/>
  <dc:description/>
  <cp:lastModifiedBy>Marco Antônio Gonçales Ribeiro</cp:lastModifiedBy>
  <cp:lastPrinted>2007-11-20T17:55:54Z</cp:lastPrinted>
  <dcterms:created xsi:type="dcterms:W3CDTF">2002-10-11T21:16:12Z</dcterms:created>
  <dcterms:modified xsi:type="dcterms:W3CDTF">2017-07-26T15:32:55Z</dcterms:modified>
  <cp:category/>
  <cp:version/>
  <cp:contentType/>
  <cp:contentStatus/>
</cp:coreProperties>
</file>